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C:\Users\KHarris\Documents\Ampacet\Technical\Quality\ESG\"/>
    </mc:Choice>
  </mc:AlternateContent>
  <xr:revisionPtr revIDLastSave="0" documentId="8_{47F31E39-7E8C-4BE7-9F71-7EB305AF76EA}"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S5" i="5"/>
  <c r="C5"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69" i="6"/>
  <c r="C69" i="6"/>
  <c r="G6" i="5"/>
  <c r="R6" i="5"/>
  <c r="F6" i="5"/>
  <c r="I6" i="5"/>
  <c r="H6" i="5"/>
  <c r="E6" i="5"/>
  <c r="X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J5" i="5"/>
  <c r="H5" i="5"/>
  <c r="G5" i="5"/>
  <c r="F5" i="5"/>
  <c r="R5" i="5"/>
  <c r="E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<sst xmlns="http://schemas.openxmlformats.org/spreadsheetml/2006/main" count="22531" uniqueCount="15887">
  <si>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</si>
  <si>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</si>
  <si>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</si>
  <si>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</si>
  <si>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</si>
  <si>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</si>
  <si>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</si>
  <si>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</si>
  <si>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</si>
  <si>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</si>
  <si>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</si>
  <si>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</si>
  <si>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</si>
  <si>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</si>
  <si>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</si>
  <si>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</si>
  <si>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</si>
  <si>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</si>
  <si>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</si>
  <si>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</si>
  <si>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</si>
  <si>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</si>
  <si>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</si>
  <si>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</si>
  <si>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</si>
  <si>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</si>
  <si>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</si>
  <si>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</si>
  <si>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</si>
  <si>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</si>
  <si>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</si>
  <si>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</si>
  <si>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</si>
  <si>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</si>
  <si>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</si>
  <si>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</si>
  <si>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</si>
  <si>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</si>
  <si>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</si>
  <si>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</si>
  <si>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</si>
  <si>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</si>
  <si>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</si>
  <si>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</si>
  <si>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</si>
  <si>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</si>
  <si>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</si>
  <si>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</si>
  <si>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</si>
  <si>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</si>
  <si>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</si>
  <si>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</si>
  <si>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</si>
  <si>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</si>
  <si>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</si>
  <si>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</si>
  <si>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</si>
  <si>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</si>
  <si>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</si>
  <si>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</si>
  <si>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</si>
  <si>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</si>
  <si>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</si>
  <si>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</si>
  <si>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</si>
  <si>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</si>
  <si>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</si>
  <si>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</si>
  <si>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</si>
  <si>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</si>
  <si>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</si>
  <si>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</si>
  <si>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</si>
  <si>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</si>
  <si>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</si>
  <si>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</si>
  <si>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</si>
  <si>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</si>
  <si>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</si>
  <si>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</si>
  <si>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</si>
  <si>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</si>
  <si>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</si>
  <si>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</si>
  <si>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</si>
  <si>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</si>
  <si>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</si>
  <si>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</si>
  <si>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</si>
  <si>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</si>
  <si>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</si>
  <si>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</si>
  <si>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</si>
  <si>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</si>
  <si>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</si>
  <si>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</si>
  <si>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</si>
  <si>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</si>
  <si>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</si>
  <si>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</si>
  <si>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</si>
  <si>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</si>
  <si>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</si>
  <si>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</si>
  <si>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</si>
  <si>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</si>
  <si>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</si>
  <si>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</si>
  <si>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</si>
  <si>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</si>
  <si>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</si>
  <si>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</si>
  <si>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</si>
  <si>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</si>
  <si>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</si>
  <si>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</si>
  <si>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</si>
  <si>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</si>
  <si>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</si>
  <si>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</si>
  <si>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</si>
  <si>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</si>
  <si>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</si>
  <si>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</si>
  <si>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</si>
  <si>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</si>
  <si>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</si>
  <si>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</si>
  <si>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</si>
  <si>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</si>
  <si>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</si>
  <si>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</si>
  <si>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</si>
  <si>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</si>
  <si>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</si>
  <si>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</si>
  <si>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</si>
  <si>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</si>
  <si>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</si>
  <si>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</si>
  <si>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</si>
  <si>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</si>
  <si>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</si>
  <si>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</si>
  <si>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</si>
  <si>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</si>
  <si>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</si>
  <si>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</si>
  <si>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</si>
  <si>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</si>
  <si>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</si>
  <si>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</si>
  <si>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</si>
  <si>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</si>
  <si>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</si>
  <si>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</si>
  <si>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</si>
  <si>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</si>
  <si>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</si>
  <si>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</si>
  <si>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</si>
  <si>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</si>
  <si>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</si>
  <si>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</si>
  <si>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</si>
  <si>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</si>
  <si>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</si>
  <si>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</si>
  <si>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</si>
  <si>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</si>
  <si>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</si>
  <si>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</si>
  <si>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</si>
  <si>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</si>
  <si>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</si>
  <si>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</si>
  <si>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</si>
  <si>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</si>
  <si>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</si>
  <si>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</si>
  <si>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</si>
  <si>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</si>
  <si>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</si>
  <si>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</si>
  <si>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</si>
  <si>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</si>
  <si>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</si>
  <si>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</si>
  <si>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</si>
  <si>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</si>
  <si>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</si>
  <si>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</si>
  <si>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</si>
  <si>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</si>
  <si>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</si>
  <si>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</si>
  <si>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</si>
  <si>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</si>
  <si>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</si>
  <si>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</si>
  <si>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</si>
  <si>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</si>
  <si>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</si>
  <si>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</si>
  <si>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</si>
  <si>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</si>
  <si>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</si>
  <si>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</si>
  <si>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</si>
  <si>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</si>
  <si>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</si>
  <si>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</si>
  <si>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</si>
  <si>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</si>
  <si>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</si>
  <si>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</si>
  <si>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</si>
  <si>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</si>
  <si>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</si>
  <si>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</si>
  <si>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</si>
  <si>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</si>
  <si>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</si>
  <si>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</si>
  <si>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</si>
  <si>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</si>
  <si>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</si>
  <si>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</si>
  <si>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</si>
  <si>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</si>
  <si>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</si>
  <si>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</si>
  <si>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</si>
  <si>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</si>
  <si>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</si>
  <si>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</si>
  <si>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</si>
  <si>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</si>
  <si>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</si>
  <si>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</si>
  <si>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</si>
  <si>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</si>
  <si>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</si>
  <si>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</si>
  <si>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</si>
  <si>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</si>
  <si>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</si>
  <si>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</si>
  <si>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</si>
  <si>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</si>
  <si>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</si>
  <si>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</si>
  <si>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</si>
  <si>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</si>
  <si>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</si>
  <si>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</si>
  <si>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</si>
  <si>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</si>
  <si>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</si>
  <si>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</si>
  <si>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</si>
  <si>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</si>
  <si>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</si>
  <si>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</si>
  <si>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</si>
  <si>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</si>
  <si>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</si>
  <si>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</si>
  <si>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</si>
  <si>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</si>
  <si>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</si>
  <si>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</si>
  <si>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</si>
  <si>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</si>
  <si>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</si>
  <si>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</si>
  <si>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</si>
  <si>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</si>
  <si>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</si>
  <si>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</si>
  <si>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</si>
  <si>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</si>
  <si>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</si>
  <si>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</si>
  <si>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</si>
  <si>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</si>
  <si>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</si>
  <si>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</si>
  <si>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</si>
  <si>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</si>
  <si>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</si>
  <si>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</si>
  <si>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</si>
  <si>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</si>
  <si>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</si>
  <si>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</si>
  <si>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</si>
  <si>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</si>
  <si>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</si>
  <si>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</si>
  <si>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</si>
  <si>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</si>
  <si>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</si>
  <si>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</si>
  <si>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</si>
  <si>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</si>
  <si>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</si>
  <si>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</si>
  <si>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</si>
  <si>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</si>
  <si>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</si>
  <si>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</si>
  <si>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</si>
  <si>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</si>
  <si>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</si>
  <si>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</si>
  <si>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</si>
  <si>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</si>
  <si>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</si>
  <si>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</si>
  <si>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</si>
  <si>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</si>
  <si>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</si>
  <si>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</si>
  <si>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</si>
  <si>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</si>
  <si>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</si>
  <si>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</si>
  <si>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</si>
  <si>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</si>
  <si>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</si>
  <si>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</si>
  <si>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</si>
  <si>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</si>
  <si>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</si>
  <si>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</si>
  <si>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</si>
  <si>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</si>
  <si>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</si>
  <si>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</si>
  <si>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</si>
  <si>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</si>
  <si>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</si>
  <si>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</si>
  <si>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</si>
  <si>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</si>
  <si>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</si>
  <si>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</si>
  <si>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</si>
  <si>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</si>
  <si>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</si>
  <si>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</si>
  <si>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</si>
  <si>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</si>
  <si>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</si>
  <si>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</si>
  <si>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</si>
  <si>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</si>
  <si>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</si>
  <si>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</si>
  <si>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</si>
  <si>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</si>
  <si>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</si>
  <si>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</si>
  <si>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</si>
  <si>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</si>
  <si>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</si>
  <si>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</si>
  <si>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</si>
  <si>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</si>
  <si>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</si>
  <si>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</si>
  <si>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</si>
  <si>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</si>
  <si>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</si>
  <si>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</si>
  <si>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</si>
  <si>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</si>
  <si>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</si>
  <si>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</si>
  <si>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</si>
  <si>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</si>
  <si>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</si>
  <si>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</si>
  <si>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</si>
  <si>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</si>
  <si>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</si>
  <si>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</si>
  <si>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</si>
  <si>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</si>
  <si>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</si>
  <si>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</si>
  <si>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</si>
  <si>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</si>
  <si>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</si>
  <si>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</si>
  <si>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</si>
  <si>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</si>
  <si>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</si>
  <si>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</si>
  <si>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</si>
  <si>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</si>
  <si>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</si>
  <si>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</si>
  <si>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</si>
  <si>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</si>
  <si>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</si>
  <si>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</si>
  <si>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</si>
  <si>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</si>
  <si>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</si>
  <si>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</si>
  <si>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</si>
  <si>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</si>
  <si>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</si>
  <si>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</si>
  <si>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</si>
  <si>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</si>
  <si>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</si>
  <si>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</si>
  <si>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</si>
  <si>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</si>
  <si>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</si>
  <si>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</si>
  <si>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</si>
  <si>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</si>
  <si>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</si>
  <si>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</si>
  <si>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</si>
  <si>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</si>
  <si>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</si>
  <si>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</si>
  <si>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</si>
  <si>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</si>
  <si>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</si>
  <si>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</si>
  <si>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</si>
  <si>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</si>
  <si>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</si>
  <si>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</si>
  <si>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</si>
  <si>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</si>
  <si>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</si>
  <si>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</si>
  <si>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</si>
  <si>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</si>
  <si>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</si>
  <si>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</si>
  <si>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</si>
  <si>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</si>
  <si>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</si>
  <si>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</si>
  <si>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</si>
  <si>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</si>
  <si>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</si>
  <si>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</si>
  <si>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</si>
  <si>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</si>
  <si>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</si>
  <si>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</si>
  <si>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</si>
  <si>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</si>
  <si>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</si>
  <si>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</si>
  <si>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</si>
  <si>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</si>
  <si>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</si>
  <si>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</si>
  <si>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</si>
  <si>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</si>
  <si>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</si>
  <si>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</si>
  <si>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</si>
  <si>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</si>
  <si>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</si>
  <si>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</si>
  <si>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</si>
  <si>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</si>
  <si>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</si>
  <si>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</si>
  <si>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</si>
  <si>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</si>
  <si>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</si>
  <si>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</si>
  <si>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</si>
  <si>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</si>
  <si>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</si>
  <si>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</si>
  <si>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</si>
  <si>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</si>
  <si>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</si>
  <si>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</si>
  <si>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</si>
  <si>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</si>
  <si>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</si>
  <si>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</si>
  <si>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</si>
  <si>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</si>
  <si>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</si>
  <si>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</si>
  <si>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</si>
  <si>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</si>
  <si>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</si>
  <si>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</si>
  <si>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</si>
  <si>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</si>
  <si>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</si>
  <si>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</si>
  <si>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</si>
  <si>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</si>
  <si>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</si>
  <si>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</si>
  <si>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</si>
  <si>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</si>
  <si>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</si>
  <si>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</si>
  <si>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</si>
  <si>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</si>
  <si>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</si>
  <si>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</si>
  <si>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</si>
  <si>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</si>
  <si>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</si>
  <si>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</si>
  <si>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</si>
  <si>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</si>
  <si>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</si>
  <si>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</si>
  <si>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</si>
  <si>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</si>
  <si>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</si>
  <si>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</si>
  <si>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</si>
  <si>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</si>
  <si>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</si>
  <si>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</si>
  <si>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</si>
  <si>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</si>
  <si>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</si>
  <si>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</si>
  <si>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</si>
  <si>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</si>
  <si>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</si>
  <si>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</si>
  <si>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</si>
  <si>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</si>
  <si>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</si>
  <si>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</si>
  <si>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</si>
  <si>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</si>
  <si>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</si>
  <si>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</si>
  <si>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</si>
  <si>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</si>
  <si>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</si>
  <si>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</si>
  <si>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</si>
  <si>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</si>
  <si>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</si>
  <si>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</si>
  <si>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</si>
  <si>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</si>
  <si>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</si>
  <si>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</si>
  <si>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</si>
  <si>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</si>
  <si>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</si>
  <si>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</si>
  <si>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</si>
  <si>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</si>
  <si>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</si>
  <si>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</si>
  <si>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</si>
  <si>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</si>
  <si>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</si>
  <si>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</si>
  <si>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</si>
  <si>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</si>
  <si>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</si>
  <si>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</si>
  <si>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</si>
  <si>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</si>
  <si>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</si>
  <si>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</si>
  <si>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</si>
  <si>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</si>
  <si>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</si>
  <si>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</si>
  <si>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</si>
  <si>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</si>
  <si>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</si>
  <si>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</si>
  <si>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</si>
  <si>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</si>
  <si>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</si>
  <si>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</si>
  <si>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</si>
  <si>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</si>
  <si>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</si>
  <si>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</si>
  <si>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</si>
  <si>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</si>
  <si>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</si>
  <si>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</si>
  <si>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</si>
  <si>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</si>
  <si>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</si>
  <si>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</si>
  <si>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</si>
  <si>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</si>
  <si>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</si>
  <si>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</si>
  <si>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</si>
  <si>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</si>
  <si>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</si>
  <si>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</si>
  <si>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</si>
  <si>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</si>
  <si>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</si>
  <si>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</si>
  <si>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</si>
  <si>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</si>
  <si>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</si>
  <si>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</si>
  <si>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</si>
  <si>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</si>
  <si>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</si>
  <si>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</si>
  <si>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</si>
  <si>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</si>
  <si>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</si>
  <si>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</si>
  <si>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</si>
  <si>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</si>
  <si>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</si>
  <si>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</si>
  <si>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</si>
  <si>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</si>
  <si>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</si>
  <si>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</si>
  <si>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</si>
  <si>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</si>
  <si>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</si>
  <si>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</si>
  <si>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</si>
  <si>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</si>
  <si>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</si>
  <si>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</si>
  <si>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</si>
  <si>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</si>
  <si>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</si>
  <si>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</si>
  <si>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</si>
  <si>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</si>
  <si>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</si>
  <si>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</si>
  <si>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</si>
  <si>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</si>
  <si>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</si>
  <si>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</si>
  <si>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</si>
  <si>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</si>
  <si>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</si>
  <si>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</si>
  <si>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</si>
  <si>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</si>
  <si>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</si>
  <si>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</si>
  <si>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</si>
  <si>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</si>
  <si>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</si>
  <si>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</si>
  <si>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</si>
  <si>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</si>
  <si>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</si>
  <si>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</si>
  <si>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</si>
  <si>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</si>
  <si>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</si>
  <si>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</si>
  <si>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</si>
  <si>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</si>
  <si>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</si>
  <si>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</si>
  <si>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</si>
  <si>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</si>
  <si>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</si>
  <si>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</si>
  <si>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</si>
  <si>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</si>
  <si>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</si>
  <si>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</si>
  <si>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</si>
  <si>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</si>
  <si>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</si>
  <si>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</si>
  <si>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</si>
  <si>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</si>
  <si>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</si>
  <si>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</si>
  <si>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</si>
  <si>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</si>
  <si>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</si>
  <si>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</si>
  <si>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</si>
  <si>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</si>
  <si>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</si>
  <si>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</si>
  <si>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</si>
  <si>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</si>
  <si>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</si>
  <si>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</si>
  <si>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</si>
  <si>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</si>
  <si>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</si>
  <si>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</si>
  <si>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</si>
  <si>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</si>
  <si>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</si>
  <si>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</si>
  <si>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</si>
  <si>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</si>
  <si>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</si>
  <si>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</si>
  <si>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</si>
  <si>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</si>
  <si>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</si>
  <si>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</si>
  <si>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</si>
  <si>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</si>
  <si>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</si>
  <si>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</si>
  <si>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</si>
  <si>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</si>
  <si>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</si>
  <si>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</si>
  <si>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</si>
  <si>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</si>
  <si>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</si>
  <si>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</si>
  <si>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</si>
  <si>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</si>
  <si>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</si>
  <si>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</si>
  <si>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</si>
  <si>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</si>
  <si>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</si>
  <si>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</si>
  <si>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</si>
  <si>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</si>
  <si>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</si>
  <si>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</si>
  <si>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</si>
  <si>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</si>
  <si>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</si>
  <si>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</si>
  <si>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</si>
  <si>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</si>
  <si>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</si>
  <si>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</si>
  <si>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</si>
  <si>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</si>
  <si>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</si>
  <si>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</si>
  <si>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</si>
  <si>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</si>
  <si>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</si>
  <si>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</si>
  <si>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</si>
  <si>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</si>
  <si>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</si>
  <si>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</si>
  <si>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</si>
  <si>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</si>
  <si>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</si>
  <si>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</si>
  <si>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</si>
  <si>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</si>
  <si>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</si>
  <si>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</si>
  <si>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</si>
  <si>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</si>
  <si>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</si>
  <si>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</si>
  <si>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</si>
  <si>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</si>
  <si>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</si>
  <si>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</si>
  <si>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</si>
  <si>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</si>
  <si>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</si>
  <si>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</si>
  <si>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</si>
  <si>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</si>
  <si>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</si>
  <si>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</si>
  <si>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</si>
  <si>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</si>
  <si>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</si>
  <si>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</si>
  <si>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</si>
  <si>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</si>
  <si>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</si>
  <si>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</si>
  <si>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</si>
  <si>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</si>
  <si>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</si>
  <si>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</si>
  <si>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</si>
  <si>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</si>
  <si>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</si>
  <si>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</si>
  <si>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</si>
  <si>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</si>
  <si>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</si>
  <si>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</si>
  <si>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</si>
  <si>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</si>
  <si>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</si>
  <si>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</si>
  <si>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</si>
  <si>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</si>
  <si>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</si>
  <si>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</si>
  <si>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</si>
  <si>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</si>
  <si>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</si>
  <si>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</si>
  <si>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</si>
  <si>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</si>
  <si>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</si>
  <si>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</si>
  <si>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</si>
  <si>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</si>
  <si>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</si>
  <si>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</si>
  <si>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</si>
  <si>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</si>
  <si>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</si>
  <si>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</si>
  <si>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</si>
  <si>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</si>
  <si>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</si>
  <si>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</si>
  <si>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</si>
  <si>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</si>
  <si>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</si>
  <si>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</si>
  <si>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</si>
  <si>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</si>
  <si>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</si>
  <si>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</si>
  <si>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</si>
  <si>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</si>
  <si>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</si>
  <si>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</si>
  <si>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</si>
  <si>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</si>
  <si>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</si>
  <si>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</si>
  <si>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</si>
  <si>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</si>
  <si>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</si>
  <si>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</si>
  <si>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</si>
  <si>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</si>
  <si>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</si>
  <si>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</si>
  <si>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</si>
  <si>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</si>
  <si>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</si>
  <si>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</si>
  <si>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</si>
  <si>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</si>
  <si>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</si>
  <si>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</si>
  <si>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</si>
  <si>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</si>
  <si>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</si>
  <si>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</si>
  <si>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</si>
  <si>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</si>
  <si>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</si>
  <si>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</si>
  <si>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</si>
  <si>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</si>
  <si>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</si>
  <si>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</si>
  <si>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</si>
  <si>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</si>
  <si>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</si>
  <si>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</si>
  <si>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</si>
  <si>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</si>
  <si>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</si>
  <si>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</si>
  <si>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</si>
  <si>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</si>
  <si>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</si>
  <si>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</si>
  <si>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</si>
  <si>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</si>
  <si>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</si>
  <si>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</si>
  <si>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</si>
  <si>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</si>
  <si>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</si>
  <si>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</si>
  <si>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</si>
  <si>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</si>
  <si>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</si>
  <si>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</si>
  <si>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</si>
  <si>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</si>
  <si>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</si>
  <si>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</si>
  <si>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</si>
  <si>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</si>
  <si>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</si>
  <si>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</si>
  <si>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</si>
  <si>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</si>
  <si>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</si>
  <si>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</si>
  <si>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</si>
  <si>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</si>
  <si>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</si>
  <si>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</si>
  <si>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</si>
  <si>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</si>
  <si>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</si>
  <si>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</si>
  <si>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</si>
  <si>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</si>
  <si>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</si>
  <si>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</si>
  <si>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</si>
  <si>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</si>
  <si>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</si>
  <si>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</si>
  <si>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</si>
  <si>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</si>
  <si>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</si>
  <si>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</si>
  <si>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</si>
  <si>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</si>
  <si>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</si>
  <si>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</si>
  <si>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</si>
  <si>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</si>
  <si>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</si>
  <si>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</si>
  <si>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</si>
  <si>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</si>
  <si>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</si>
  <si>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</si>
  <si>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</si>
  <si>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</si>
  <si>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</si>
  <si>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</si>
  <si>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</si>
  <si>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</si>
  <si>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</si>
  <si>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</si>
  <si>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</si>
  <si>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</si>
  <si>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</si>
  <si>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</si>
  <si>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</si>
  <si>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</si>
  <si>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</si>
  <si>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</si>
  <si>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</si>
  <si>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</si>
  <si>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</si>
  <si>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</si>
  <si>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</si>
  <si>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</si>
  <si>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</si>
  <si>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</si>
  <si>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</si>
  <si>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</si>
  <si>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</si>
  <si>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</si>
  <si>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</si>
  <si>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</si>
  <si>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</si>
  <si>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</si>
  <si>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</si>
  <si>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</si>
  <si>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</si>
  <si>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</si>
  <si>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</si>
  <si>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</si>
  <si>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</si>
  <si>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</si>
  <si>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</si>
  <si>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</si>
  <si>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</si>
  <si>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</si>
  <si>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</si>
  <si>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</si>
  <si>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</si>
  <si>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</si>
  <si>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</si>
  <si>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</si>
  <si>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</si>
  <si>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</si>
  <si>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</si>
  <si>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</si>
  <si>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</si>
  <si>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</si>
  <si>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</si>
  <si>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</si>
  <si>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</si>
  <si>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</si>
  <si>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</si>
  <si>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</si>
  <si>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</si>
  <si>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</si>
  <si>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</si>
  <si>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</si>
  <si>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</si>
  <si>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</si>
  <si>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</si>
  <si>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</si>
  <si>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</si>
  <si>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</si>
  <si>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</si>
  <si>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</si>
  <si>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</si>
  <si>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</si>
  <si>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</si>
  <si>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</si>
  <si>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</si>
  <si>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</si>
  <si>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</si>
  <si>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</si>
  <si>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</si>
  <si>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</si>
  <si>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</si>
  <si>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</si>
  <si>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</si>
  <si>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</si>
  <si>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</si>
  <si>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</si>
  <si>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</si>
  <si>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</si>
  <si>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</si>
  <si>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</si>
  <si>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</si>
  <si>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</si>
  <si>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</si>
  <si>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</si>
  <si>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</si>
  <si>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</si>
  <si>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</si>
  <si>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</si>
  <si>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</si>
  <si>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</si>
  <si>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</si>
  <si>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</si>
  <si>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</si>
  <si>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</si>
  <si>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</si>
  <si>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</si>
  <si>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</si>
  <si>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</si>
  <si>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</si>
  <si>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</si>
  <si>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</si>
  <si>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</si>
  <si>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</si>
  <si>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</si>
  <si>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</si>
  <si>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</si>
  <si>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</si>
  <si>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</si>
  <si>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</si>
  <si>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</si>
  <si>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</si>
  <si>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</si>
  <si>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</si>
  <si>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</si>
  <si>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</si>
  <si>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</si>
  <si>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</si>
  <si>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</si>
  <si>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</si>
  <si>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</si>
  <si>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</si>
  <si>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</si>
  <si>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</si>
  <si>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</si>
  <si>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</si>
  <si>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</si>
  <si>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</si>
  <si>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</si>
  <si>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</si>
  <si>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</si>
  <si>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</si>
  <si>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</si>
  <si>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</si>
  <si>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</si>
  <si>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</si>
  <si>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</si>
  <si>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</si>
  <si>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</si>
  <si>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</si>
  <si>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</si>
  <si>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</si>
  <si>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</si>
  <si>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</si>
  <si>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</si>
  <si>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</si>
  <si>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</si>
  <si>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</si>
  <si>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</si>
  <si>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</si>
  <si>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</si>
  <si>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</si>
  <si>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</si>
  <si>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</si>
  <si>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</si>
  <si>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</si>
  <si>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</si>
  <si>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</si>
  <si>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</si>
  <si>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</si>
  <si>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</si>
  <si>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</si>
  <si>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</si>
  <si>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</si>
  <si>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</si>
  <si>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</si>
  <si>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</si>
  <si>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</si>
  <si>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</si>
  <si>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</si>
  <si>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</si>
  <si>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</si>
  <si>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</si>
  <si>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</si>
  <si>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</si>
  <si>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</si>
  <si>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</si>
  <si>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</si>
  <si>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</si>
  <si>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</si>
  <si>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</si>
  <si>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</si>
  <si>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</si>
  <si>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</si>
  <si>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</si>
  <si>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</si>
  <si>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</si>
  <si>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</si>
  <si>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</si>
  <si>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</si>
  <si>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</si>
  <si>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</si>
  <si>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</si>
  <si>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</si>
  <si>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</si>
  <si>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</si>
  <si>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</si>
  <si>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</si>
  <si>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</si>
  <si>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</si>
  <si>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</si>
  <si>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</si>
  <si>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</si>
  <si>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</si>
  <si>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</si>
  <si>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</si>
  <si>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</si>
  <si>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</si>
  <si>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</si>
  <si>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</si>
  <si>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</si>
  <si>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</si>
  <si>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</si>
  <si>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</si>
  <si>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</si>
  <si>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</si>
  <si>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</si>
  <si>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</si>
  <si>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</si>
  <si>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</si>
  <si>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</si>
  <si>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</si>
  <si>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</si>
  <si>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</si>
  <si>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</si>
  <si>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</si>
  <si>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</si>
  <si>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</si>
  <si>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</si>
  <si>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</si>
  <si>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</si>
  <si>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</si>
  <si>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</si>
  <si>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</si>
  <si>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</si>
  <si>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</si>
  <si>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</si>
  <si>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</si>
  <si>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</si>
  <si>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</si>
  <si>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</si>
  <si>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</si>
  <si>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</si>
  <si>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</si>
  <si>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</si>
  <si>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</si>
  <si>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</si>
  <si>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</si>
  <si>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</si>
  <si>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</si>
  <si>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</si>
  <si>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</si>
  <si>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</si>
  <si>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</si>
  <si>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</si>
  <si>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</si>
  <si>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</si>
  <si>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</si>
  <si>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</si>
  <si>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</si>
  <si>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</si>
  <si>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</si>
  <si>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</si>
  <si>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</si>
  <si>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</si>
  <si>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</si>
  <si>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</si>
  <si>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</si>
  <si>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</si>
  <si>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</si>
  <si>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</si>
  <si>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</si>
  <si>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</si>
  <si>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</si>
  <si>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</si>
  <si>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</si>
  <si>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</si>
  <si>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</si>
  <si>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</si>
  <si>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</si>
  <si>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</si>
  <si>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</si>
  <si>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</si>
  <si>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</si>
  <si>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</si>
  <si>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</si>
  <si>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</si>
  <si>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</si>
  <si>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</si>
  <si>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</si>
  <si>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</si>
  <si>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</si>
  <si>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</si>
  <si>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</si>
  <si>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</si>
  <si>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</si>
  <si>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</si>
  <si>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</si>
  <si>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</si>
  <si>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</si>
  <si>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</si>
  <si>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</si>
  <si>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</si>
  <si>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</si>
  <si>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</si>
  <si>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</si>
  <si>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</si>
  <si>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</si>
  <si>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</si>
  <si>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</si>
  <si>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</si>
  <si>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</si>
  <si>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</si>
  <si>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</si>
  <si>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</si>
  <si>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</si>
  <si>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</si>
  <si>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</si>
  <si>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</si>
  <si>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</si>
  <si>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</si>
  <si>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</si>
  <si>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</si>
  <si>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</si>
  <si>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</si>
  <si>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</si>
  <si>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</si>
  <si>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</si>
  <si>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</si>
  <si>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</si>
  <si>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</si>
  <si>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</si>
  <si>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</si>
  <si>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</si>
  <si>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</si>
  <si>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</si>
  <si>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</si>
  <si>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</si>
  <si>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</si>
  <si>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</si>
  <si>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</si>
  <si>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</si>
  <si>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</si>
  <si>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</si>
  <si>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</si>
  <si>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</si>
  <si>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</si>
  <si>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</si>
  <si>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</si>
  <si>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</si>
  <si>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</si>
  <si>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</si>
  <si>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</si>
  <si>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</si>
  <si>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</si>
  <si>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</si>
  <si>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</si>
  <si>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</si>
  <si>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</si>
  <si>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</si>
  <si>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</si>
  <si>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</si>
  <si>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</si>
  <si>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</si>
  <si>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</si>
  <si>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</si>
  <si>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</si>
  <si>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</si>
  <si>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</si>
  <si>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</si>
  <si>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</si>
  <si>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</si>
  <si>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</si>
  <si>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</si>
  <si>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</si>
  <si>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</si>
  <si>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</si>
  <si>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</si>
  <si>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</si>
  <si>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</si>
  <si>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</si>
  <si>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</si>
  <si>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</si>
  <si>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</si>
  <si>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</si>
  <si>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</si>
  <si>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</si>
  <si>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</si>
  <si>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</si>
  <si>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</si>
  <si>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</si>
  <si>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</si>
  <si>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</si>
  <si>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</si>
  <si>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</si>
  <si>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</si>
  <si>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</si>
  <si>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</si>
  <si>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</si>
  <si>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</si>
  <si>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</si>
  <si>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</si>
  <si>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</si>
  <si>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</si>
  <si>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</si>
  <si>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</si>
  <si>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</si>
  <si>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</si>
  <si>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</si>
  <si>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</si>
  <si>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</si>
  <si>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</si>
  <si>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</si>
  <si>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</si>
  <si>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</si>
  <si>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</si>
  <si>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</si>
  <si>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</si>
  <si>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</si>
  <si>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</si>
  <si>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</si>
  <si>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</si>
  <si>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</si>
  <si>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</si>
  <si>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</si>
  <si>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</si>
  <si>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</si>
  <si>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</si>
  <si>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</si>
  <si>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</si>
  <si>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</si>
  <si>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</si>
  <si>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</si>
  <si>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</si>
  <si>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</si>
  <si>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</si>
  <si>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</si>
  <si>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</si>
  <si>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</si>
  <si>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</si>
  <si>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</si>
  <si>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</si>
  <si>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</si>
  <si>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</si>
  <si>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</si>
  <si>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</si>
  <si>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</si>
  <si>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</si>
  <si>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</si>
  <si>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</si>
  <si>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</si>
  <si>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</si>
  <si>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</si>
  <si>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</si>
  <si>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</si>
  <si>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</si>
  <si>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</si>
  <si>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</si>
  <si>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</si>
  <si>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</si>
  <si>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</si>
  <si>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</si>
  <si>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</si>
  <si>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</si>
  <si>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</si>
  <si>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</si>
  <si>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</si>
  <si>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</si>
  <si>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</si>
  <si>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</si>
  <si>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</si>
  <si>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</si>
  <si>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</si>
  <si>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</si>
  <si>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</si>
  <si>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</si>
  <si>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</si>
  <si>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</si>
  <si>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</si>
  <si>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</si>
  <si>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</si>
  <si>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</si>
  <si>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</si>
  <si>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</si>
  <si>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</si>
  <si>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</si>
  <si>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</si>
  <si>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</si>
  <si>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</si>
  <si>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</si>
  <si>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</si>
  <si>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</si>
  <si>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</si>
  <si>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</si>
  <si>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</si>
  <si>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</si>
  <si>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</si>
  <si>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</si>
  <si>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</si>
  <si>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</si>
  <si>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</si>
  <si>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</si>
  <si>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</si>
  <si>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</si>
  <si>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</si>
  <si>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</si>
  <si>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</si>
  <si>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</si>
  <si>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</si>
  <si>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</si>
  <si>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</si>
  <si>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</si>
  <si>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</si>
  <si>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</si>
  <si>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</si>
  <si>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</si>
  <si>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</si>
  <si>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</si>
  <si>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</si>
  <si>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</si>
  <si>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</si>
  <si>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</si>
  <si>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</si>
  <si>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</si>
  <si>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</si>
  <si>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</si>
  <si>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</si>
  <si>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</si>
  <si>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</si>
  <si>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</si>
  <si>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</si>
  <si>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</si>
  <si>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</si>
  <si>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</si>
  <si>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</si>
  <si>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</si>
  <si>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</si>
  <si>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</si>
  <si>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</si>
  <si>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</si>
  <si>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</si>
  <si>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</si>
  <si>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</si>
  <si>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</si>
  <si>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</si>
  <si>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</si>
  <si>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</si>
  <si>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</si>
  <si>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</si>
  <si>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</si>
  <si>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</si>
  <si>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</si>
  <si>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</si>
  <si>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</si>
  <si>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</si>
  <si>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</si>
  <si>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</si>
  <si>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</si>
  <si>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</si>
  <si>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</si>
  <si>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</si>
  <si>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</si>
  <si>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</si>
  <si>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</si>
  <si>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</si>
  <si>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</si>
  <si>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</si>
  <si>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</si>
  <si>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</si>
  <si>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</si>
  <si>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</si>
  <si>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</si>
  <si>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</si>
  <si>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</si>
  <si>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</si>
  <si>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</si>
  <si>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</si>
  <si>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</si>
  <si>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</si>
  <si>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</si>
  <si>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</si>
  <si>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</si>
  <si>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</si>
  <si>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</si>
  <si>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</si>
  <si>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</si>
  <si>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</si>
  <si>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</si>
  <si>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</si>
  <si>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</si>
  <si>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</si>
  <si>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</si>
  <si>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</si>
  <si>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</si>
  <si>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</si>
  <si>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</si>
  <si>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</si>
  <si>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</si>
  <si>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</si>
  <si>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</si>
  <si>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</si>
  <si>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</si>
  <si>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</si>
  <si>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</si>
  <si>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</si>
  <si>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</si>
  <si>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</si>
  <si>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</si>
  <si>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</si>
  <si>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</si>
  <si>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</si>
  <si>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</si>
  <si>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</si>
  <si>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</si>
  <si>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</si>
  <si>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</si>
  <si>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</si>
  <si>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</si>
  <si>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</si>
  <si>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</si>
  <si>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</si>
  <si>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</si>
  <si>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</si>
  <si>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</si>
  <si>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</si>
  <si>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</si>
  <si>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</si>
  <si>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</si>
  <si>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</si>
  <si>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</si>
  <si>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</si>
  <si>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</si>
  <si>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</si>
  <si>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</si>
  <si>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</si>
  <si>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</si>
  <si>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</si>
  <si>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</si>
  <si>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</si>
  <si>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</si>
  <si>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</si>
  <si>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</si>
  <si>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</si>
  <si>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</si>
  <si>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</si>
  <si>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</si>
  <si>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</si>
  <si>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</si>
  <si>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</si>
  <si>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</si>
  <si>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</si>
  <si>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</si>
  <si>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</si>
  <si>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</si>
  <si>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</si>
  <si>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</si>
  <si>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</si>
  <si>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</si>
  <si>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</si>
  <si>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</si>
  <si>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</si>
  <si>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</si>
  <si>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</si>
  <si>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</si>
  <si>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</si>
  <si>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</si>
  <si>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</si>
  <si>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</si>
  <si>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</si>
  <si>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</si>
  <si>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</si>
  <si>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</si>
  <si>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</si>
  <si>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</si>
  <si>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</si>
  <si>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</si>
  <si>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</si>
  <si>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</si>
  <si>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</si>
  <si>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</si>
  <si>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</si>
  <si>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</si>
  <si>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</si>
  <si>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</si>
  <si>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</si>
  <si>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</si>
  <si>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</si>
  <si>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</si>
  <si>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</si>
  <si>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</si>
  <si>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</si>
  <si>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</si>
  <si>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</si>
  <si>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</si>
  <si>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</si>
  <si>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</si>
  <si>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</si>
  <si>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</si>
  <si>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</si>
  <si>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</si>
  <si>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</si>
  <si>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</si>
  <si>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</si>
  <si>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</si>
  <si>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</si>
  <si>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</si>
  <si>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</si>
  <si>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</si>
  <si>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</si>
  <si>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</si>
  <si>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</si>
  <si>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</si>
  <si>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</si>
  <si>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</si>
  <si>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</si>
  <si>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</si>
  <si>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</si>
  <si>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</si>
  <si>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</si>
  <si>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</si>
  <si>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</si>
  <si>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</si>
  <si>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</si>
  <si>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</si>
  <si>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</si>
  <si>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</si>
  <si>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</si>
  <si>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</si>
  <si>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</si>
  <si>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</si>
  <si>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</si>
  <si>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</si>
  <si>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</si>
  <si>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</si>
  <si>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</si>
  <si>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</si>
  <si>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</si>
  <si>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</si>
  <si>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</si>
  <si>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</si>
  <si>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</si>
  <si>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</si>
  <si>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</si>
  <si>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</si>
  <si>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</si>
  <si>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</si>
  <si>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</si>
  <si>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</si>
  <si>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</si>
  <si>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</si>
  <si>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</si>
  <si>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</si>
  <si>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</si>
  <si>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</si>
  <si>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</si>
  <si>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</si>
  <si>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</si>
  <si>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</si>
  <si>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</si>
  <si>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</si>
  <si>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</si>
  <si>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</si>
  <si>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</si>
  <si>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</si>
  <si>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</si>
  <si>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</si>
  <si>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</si>
  <si>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</si>
  <si>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</si>
  <si>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</si>
  <si>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</si>
  <si>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</si>
  <si>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</si>
  <si>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</si>
  <si>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</si>
  <si>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</si>
  <si>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</si>
  <si>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</si>
  <si>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</si>
  <si>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</si>
  <si>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</si>
  <si>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</si>
  <si>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</si>
  <si>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</si>
  <si>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</si>
  <si>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</si>
  <si>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</si>
  <si>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</si>
  <si>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</si>
  <si>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</si>
  <si>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</si>
  <si>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</si>
  <si>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</si>
  <si>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</si>
  <si>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</si>
  <si>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</si>
  <si>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</si>
  <si>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</si>
  <si>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</si>
  <si>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</si>
  <si>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</si>
  <si>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</si>
  <si>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</si>
  <si>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</si>
  <si>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</si>
  <si>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</si>
  <si>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</si>
  <si>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</si>
  <si>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</si>
  <si>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</si>
  <si>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</si>
  <si>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</si>
  <si>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</si>
  <si>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</si>
  <si>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</si>
  <si>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</si>
  <si>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</si>
  <si>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</si>
  <si>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</si>
  <si>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</si>
  <si>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</si>
  <si>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</si>
  <si>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</si>
  <si>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</si>
  <si>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</si>
  <si>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</si>
  <si>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</si>
  <si>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</si>
  <si>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</si>
  <si>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</si>
  <si>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</si>
  <si>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</si>
  <si>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</si>
  <si>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</si>
  <si>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</si>
  <si>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</si>
  <si>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</si>
  <si>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</si>
  <si>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</si>
  <si>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</si>
  <si>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</si>
  <si>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</si>
  <si>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</si>
  <si>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</si>
  <si>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</si>
  <si>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</si>
  <si>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</si>
  <si>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</si>
  <si>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</si>
  <si>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</si>
  <si>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</si>
  <si>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</si>
  <si>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</si>
  <si>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</si>
  <si>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</si>
  <si>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</si>
  <si>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</si>
  <si>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</si>
  <si>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</si>
  <si>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</si>
  <si>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</si>
  <si>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</si>
  <si>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</si>
  <si>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</si>
  <si>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</si>
  <si>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</si>
  <si>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</si>
  <si>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</si>
  <si>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</si>
  <si>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</si>
  <si>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</si>
  <si>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</si>
  <si>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</si>
  <si>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</si>
  <si>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</si>
  <si>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</si>
  <si>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</si>
  <si>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</si>
  <si>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</si>
  <si>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</si>
  <si>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</si>
  <si>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</si>
  <si>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</si>
  <si>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</si>
  <si>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</si>
  <si>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</si>
  <si>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</si>
  <si>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</si>
  <si>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</si>
  <si>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</si>
  <si>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</si>
  <si>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</si>
  <si>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</si>
  <si>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</si>
  <si>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</si>
  <si>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</si>
  <si>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</si>
  <si>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</si>
  <si>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</si>
  <si>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</si>
  <si>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</si>
  <si>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</si>
  <si>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</si>
  <si>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</si>
  <si>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</si>
  <si>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</si>
  <si>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</si>
  <si>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</si>
  <si>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</si>
  <si>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</si>
  <si>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</si>
  <si>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</si>
  <si>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</si>
  <si>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</si>
  <si>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</si>
  <si>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</si>
  <si>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</si>
  <si>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</si>
  <si>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</si>
  <si>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</si>
  <si>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</si>
  <si>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</si>
  <si>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</si>
  <si>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</si>
  <si>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</si>
  <si>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</si>
  <si>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</si>
  <si>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</si>
  <si>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</si>
  <si>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</si>
  <si>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</si>
  <si>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</si>
  <si>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</si>
  <si>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</si>
  <si>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</si>
  <si>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</si>
  <si>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</si>
  <si>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</si>
  <si>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</si>
  <si>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</si>
  <si>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</si>
  <si>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</si>
  <si>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</si>
  <si>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</si>
  <si>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</si>
  <si>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</si>
  <si>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</si>
  <si>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</si>
  <si>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</si>
  <si>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</si>
  <si>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</si>
  <si>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</si>
  <si>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</si>
  <si>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</si>
  <si>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</si>
  <si>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</si>
  <si>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</si>
  <si>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</si>
  <si>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</si>
  <si>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</si>
  <si>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</si>
  <si>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</si>
  <si>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</si>
  <si>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</si>
  <si>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</si>
  <si>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</si>
  <si>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</si>
  <si>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</si>
  <si>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</si>
  <si>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</si>
  <si>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</si>
  <si>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</si>
  <si>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</si>
  <si>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</si>
  <si>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</si>
  <si>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</si>
  <si>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</si>
  <si>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</si>
  <si>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</si>
  <si>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</si>
  <si>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</si>
  <si>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</si>
  <si>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</si>
  <si>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</si>
  <si>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</si>
  <si>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</si>
  <si>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</si>
  <si>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</si>
  <si>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</si>
  <si>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</si>
  <si>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</si>
  <si>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</si>
  <si>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</si>
  <si>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</si>
  <si>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</si>
  <si>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</si>
  <si>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</si>
  <si>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</si>
  <si>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</si>
  <si>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</si>
  <si>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</si>
  <si>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</si>
  <si>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</si>
  <si>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</si>
  <si>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</si>
  <si>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</si>
  <si>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</si>
  <si>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</si>
  <si>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</si>
  <si>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</si>
  <si>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</si>
  <si>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</si>
  <si>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</si>
  <si>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</si>
  <si>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</si>
  <si>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</si>
  <si>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</si>
  <si>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</si>
  <si>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</si>
  <si>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</si>
  <si>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</si>
  <si>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</si>
  <si>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</si>
  <si>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</si>
  <si>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</si>
  <si>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</si>
  <si>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</si>
  <si>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</si>
  <si>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</si>
  <si>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</si>
  <si>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</si>
  <si>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</si>
  <si>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</si>
  <si>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</si>
  <si>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</si>
  <si>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</si>
  <si>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</si>
  <si>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</si>
  <si>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</si>
  <si>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</si>
  <si>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</si>
  <si>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</si>
  <si>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</si>
  <si>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</si>
  <si>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</si>
  <si>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</si>
  <si>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</si>
  <si>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</si>
  <si>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</si>
  <si>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</si>
  <si>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</si>
  <si>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</si>
  <si>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</si>
  <si>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</si>
  <si>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</si>
  <si>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</si>
  <si>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</si>
  <si>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</si>
  <si>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</si>
  <si>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</si>
  <si>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</si>
  <si>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</si>
  <si>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</si>
  <si>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</si>
  <si>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</si>
  <si>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</si>
  <si>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</si>
  <si>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</si>
  <si>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</si>
  <si>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</si>
  <si>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</si>
  <si>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</si>
  <si>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</si>
  <si>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</si>
  <si>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</si>
  <si>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</si>
  <si>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</si>
  <si>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</si>
  <si>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</si>
  <si>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</si>
  <si>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</si>
  <si>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</si>
  <si>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</si>
  <si>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</si>
  <si>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</si>
  <si>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</si>
  <si>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</si>
  <si>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</si>
  <si>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</si>
  <si>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</si>
  <si>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</si>
  <si>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</si>
  <si>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</si>
  <si>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</si>
  <si>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</si>
  <si>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</si>
  <si>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</si>
  <si>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</si>
  <si>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</si>
  <si>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</si>
  <si>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</si>
  <si>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</si>
  <si>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</si>
  <si>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</si>
  <si>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</si>
  <si>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</si>
  <si>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</si>
  <si>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</si>
  <si>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</si>
  <si>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</si>
  <si>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</si>
  <si>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</si>
  <si>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</si>
  <si>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</si>
  <si>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</si>
  <si>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</si>
  <si>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</si>
  <si>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</si>
  <si>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</si>
  <si>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</si>
  <si>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</si>
  <si>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</si>
  <si>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</si>
  <si>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</si>
  <si>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</si>
  <si>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</si>
  <si>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</si>
  <si>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</si>
  <si>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</si>
  <si>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</si>
  <si>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</si>
  <si>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</si>
  <si>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</si>
  <si>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</si>
  <si>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</si>
  <si>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</si>
  <si>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</si>
  <si>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</si>
  <si>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</si>
  <si>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</si>
  <si>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</si>
  <si>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</si>
  <si>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</si>
  <si>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</si>
  <si>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</si>
  <si>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</si>
  <si>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</si>
  <si>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</si>
  <si>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</si>
  <si>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</si>
  <si>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</si>
  <si>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</si>
  <si>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</si>
  <si>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</si>
  <si>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</si>
  <si>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</si>
  <si>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</si>
  <si>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</si>
  <si>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</si>
  <si>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</si>
  <si>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</si>
  <si>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</si>
  <si>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</si>
  <si>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</si>
  <si>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</si>
  <si>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</si>
  <si>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</si>
  <si>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</si>
  <si>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</si>
  <si>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</si>
  <si>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</si>
  <si>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</si>
  <si>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</si>
  <si>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</si>
  <si>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</si>
  <si>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</si>
  <si>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</si>
  <si>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</si>
  <si>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</si>
  <si>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</si>
  <si>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</si>
  <si>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</si>
  <si>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</si>
  <si>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</si>
  <si>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</si>
  <si>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</si>
  <si>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</si>
  <si>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</si>
  <si>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</si>
  <si>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</si>
  <si>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</si>
  <si>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</si>
  <si>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</si>
  <si>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</si>
  <si>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</si>
  <si>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</si>
  <si>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</si>
  <si>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</si>
  <si>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</si>
  <si>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</si>
  <si>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</si>
  <si>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</si>
  <si>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</si>
  <si>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</si>
  <si>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</si>
  <si>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</si>
  <si>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</si>
  <si>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</si>
  <si>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</si>
  <si>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</si>
  <si>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</si>
  <si>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</si>
  <si>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</si>
  <si>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</si>
  <si>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</si>
  <si>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</si>
  <si>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</si>
  <si>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</si>
  <si>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</si>
  <si>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</si>
  <si>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</si>
  <si>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</si>
  <si>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</si>
  <si>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</si>
  <si>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</si>
  <si>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</si>
  <si>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</si>
  <si>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</si>
  <si>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</si>
  <si>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</si>
  <si>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</si>
  <si>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</si>
  <si>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</si>
  <si>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</si>
  <si>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</si>
  <si>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</si>
  <si>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</si>
  <si>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</si>
  <si>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</si>
  <si>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</si>
  <si>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</si>
  <si>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</si>
  <si>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</si>
  <si>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</si>
  <si>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</si>
  <si>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</si>
  <si>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</si>
  <si>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</si>
  <si>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</si>
  <si>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</si>
  <si>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</si>
  <si>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</si>
  <si>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</si>
  <si>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</si>
  <si>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</si>
  <si>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</si>
  <si>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</si>
  <si>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</si>
  <si>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</si>
  <si>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</si>
  <si>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</si>
  <si>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</si>
  <si>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</si>
  <si>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</si>
  <si>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</si>
  <si>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</si>
  <si>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</si>
  <si>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</si>
  <si>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</si>
  <si>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</si>
  <si>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</si>
  <si>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</si>
  <si>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</si>
  <si>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</si>
  <si>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</si>
  <si>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</si>
  <si>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</si>
  <si>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</si>
  <si>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</si>
  <si>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</si>
  <si>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</si>
  <si>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</si>
  <si>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</si>
  <si>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</si>
  <si>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</si>
  <si>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</si>
  <si>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</si>
  <si>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</si>
  <si>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</si>
  <si>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</si>
  <si>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</si>
  <si>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</si>
  <si>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</si>
  <si>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</si>
  <si>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</si>
  <si>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</si>
  <si>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</si>
  <si>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</si>
  <si>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</si>
  <si>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</si>
  <si>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</si>
  <si>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</si>
  <si>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</si>
  <si>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</si>
  <si>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</si>
  <si>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</si>
  <si>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</si>
  <si>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</si>
  <si>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</si>
  <si>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</si>
  <si>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</si>
  <si>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</si>
  <si>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</si>
  <si>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</si>
  <si>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</si>
  <si>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</si>
  <si>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</si>
  <si>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</si>
  <si>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</si>
  <si>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</si>
  <si>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</si>
  <si>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</si>
  <si>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</si>
  <si>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</si>
  <si>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</si>
  <si>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</si>
  <si>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</si>
  <si>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</si>
  <si>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</si>
  <si>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</si>
  <si>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</si>
  <si>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</si>
  <si>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</si>
  <si>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</si>
  <si>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</si>
  <si>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</si>
  <si>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</si>
  <si>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</si>
  <si>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</si>
  <si>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</si>
  <si>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</si>
  <si>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</si>
  <si>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</si>
  <si>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</si>
  <si>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</si>
  <si>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</si>
  <si>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</si>
  <si>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</si>
  <si>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</si>
  <si>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</si>
  <si>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</si>
  <si>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</si>
  <si>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</si>
  <si>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</si>
  <si>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</si>
  <si>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</si>
  <si>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</si>
  <si>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</si>
  <si>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</si>
  <si>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</si>
  <si>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</si>
  <si>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</si>
  <si>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</si>
  <si>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</si>
  <si>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</si>
  <si>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</si>
  <si>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</si>
  <si>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</si>
  <si>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</si>
  <si>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</si>
  <si>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</si>
  <si>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</si>
  <si>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</si>
  <si>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</si>
  <si>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</si>
  <si>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</si>
  <si>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</si>
  <si>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</si>
  <si>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</si>
  <si>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</si>
  <si>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</si>
  <si>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</si>
  <si>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</si>
  <si>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</si>
  <si>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</si>
  <si>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</si>
  <si>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</si>
  <si>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</si>
  <si>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</si>
  <si>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</si>
  <si>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</si>
  <si>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</si>
  <si>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</si>
  <si>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</si>
  <si>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</si>
  <si>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</si>
  <si>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</si>
  <si>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</si>
  <si>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</si>
  <si>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</si>
  <si>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</si>
  <si>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</si>
  <si>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</si>
  <si>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</si>
  <si>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</si>
  <si>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</si>
  <si>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</si>
  <si>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</si>
  <si>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</si>
  <si>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</si>
  <si>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</si>
  <si>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</si>
  <si>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</si>
  <si>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</si>
  <si>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</si>
  <si>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</si>
  <si>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</si>
  <si>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</si>
  <si>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</si>
  <si>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</si>
  <si>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</si>
  <si>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</si>
  <si>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</si>
  <si>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</si>
  <si>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</si>
  <si>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</si>
  <si>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</si>
  <si>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</si>
  <si>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</si>
  <si>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</si>
  <si>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</si>
  <si>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</si>
  <si>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</si>
  <si>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</si>
  <si>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</si>
  <si>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</si>
  <si>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</si>
  <si>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</si>
  <si>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</si>
  <si>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</si>
  <si>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</si>
  <si>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</si>
  <si>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</si>
  <si>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</si>
  <si>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</si>
  <si>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</si>
  <si>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</si>
  <si>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</si>
  <si>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</si>
  <si>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</si>
  <si>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</si>
  <si>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</si>
  <si>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</si>
  <si>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</si>
  <si>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</si>
  <si>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</si>
  <si>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</si>
  <si>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</si>
  <si>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</si>
  <si>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</si>
  <si>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</si>
  <si>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</si>
  <si>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</si>
  <si>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</si>
  <si>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</si>
  <si>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</si>
  <si>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</si>
  <si>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</si>
  <si>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</si>
  <si>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</si>
  <si>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</si>
  <si>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</si>
  <si>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</si>
  <si>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</si>
  <si>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</si>
  <si>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</si>
  <si>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</si>
  <si>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</si>
  <si>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</si>
  <si>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</si>
  <si>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</si>
  <si>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</si>
  <si>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</si>
  <si>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</si>
  <si>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</si>
  <si>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</si>
  <si>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</si>
  <si>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</si>
  <si>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</si>
  <si>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</si>
  <si>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</si>
  <si>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</si>
  <si>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</si>
  <si>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</si>
  <si>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</si>
  <si>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</si>
  <si>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</si>
  <si>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</si>
  <si>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</si>
  <si>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</si>
  <si>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</si>
  <si>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</si>
  <si>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</si>
  <si>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</si>
  <si>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</si>
  <si>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</si>
  <si>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</si>
  <si>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</si>
  <si>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</si>
  <si>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</si>
  <si>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</si>
  <si>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</si>
  <si>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</si>
  <si>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</si>
  <si>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</si>
  <si>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</si>
  <si>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</si>
  <si>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</si>
  <si>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</si>
  <si>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</si>
  <si>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</si>
  <si>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</si>
  <si>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</si>
  <si>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</si>
  <si>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</si>
  <si>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</si>
  <si>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</si>
  <si>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</si>
  <si>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</si>
  <si>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</si>
  <si>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</si>
  <si>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</si>
  <si>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</si>
  <si>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</si>
  <si>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</si>
  <si>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</si>
  <si>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</si>
  <si>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</si>
  <si>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</si>
  <si>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</si>
  <si>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</si>
  <si>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</si>
  <si>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</si>
  <si>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</si>
  <si>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</si>
  <si>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</si>
  <si>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</si>
  <si>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</si>
  <si>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</si>
  <si>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</si>
  <si>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</si>
  <si>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</si>
  <si>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</si>
  <si>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</si>
  <si>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</si>
  <si>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</si>
  <si>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</si>
  <si>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</si>
  <si>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</si>
  <si>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</si>
  <si>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</si>
  <si>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</si>
  <si>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</si>
  <si>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</si>
  <si>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</si>
  <si>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</si>
  <si>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</si>
  <si>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</si>
  <si>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</si>
  <si>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</si>
  <si>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</si>
  <si>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</si>
  <si>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</si>
  <si>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</si>
  <si>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</si>
  <si>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</si>
  <si>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</si>
  <si>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</si>
  <si>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</si>
  <si>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</si>
  <si>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</si>
  <si>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</si>
  <si>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</si>
  <si>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</si>
  <si>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</si>
  <si>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</si>
  <si>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</si>
  <si>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</si>
  <si>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</si>
  <si>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</si>
  <si>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</si>
  <si>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</si>
  <si>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</si>
  <si>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</si>
  <si>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</si>
  <si>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</si>
  <si>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</si>
  <si>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</si>
  <si>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</si>
  <si>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</si>
  <si>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</si>
  <si>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</si>
  <si>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</si>
  <si>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</si>
  <si>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</si>
  <si>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</si>
  <si>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</si>
  <si>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</si>
  <si>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</si>
  <si>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</si>
  <si>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</si>
  <si>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</si>
  <si>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</si>
  <si>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</si>
  <si>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</si>
  <si>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</si>
  <si>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</si>
  <si>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</si>
  <si>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</si>
  <si>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</si>
  <si>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</si>
  <si>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</si>
  <si>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</si>
  <si>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</si>
  <si>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</si>
  <si>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</si>
  <si>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</si>
  <si>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</si>
  <si>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</si>
  <si>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</si>
  <si>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</si>
  <si>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</si>
  <si>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</si>
  <si>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</si>
  <si>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</si>
  <si>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</si>
  <si>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</si>
  <si>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</si>
  <si>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</si>
  <si>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</si>
  <si>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</si>
  <si>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</si>
  <si>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</si>
  <si>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</si>
  <si>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</si>
  <si>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</si>
  <si>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</si>
  <si>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</si>
  <si>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</si>
  <si>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</si>
  <si>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</si>
  <si>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</si>
  <si>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</si>
  <si>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</si>
  <si>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</si>
  <si>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</si>
  <si>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</si>
  <si>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</si>
  <si>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</si>
  <si>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</si>
  <si>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</si>
  <si>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</si>
  <si>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</si>
  <si>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</si>
  <si>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</si>
  <si>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</si>
  <si>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</si>
  <si>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</si>
  <si>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</si>
  <si>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</si>
  <si>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</si>
  <si>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</si>
  <si>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</si>
  <si>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</si>
  <si>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</si>
  <si>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</si>
  <si>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</si>
  <si>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</si>
  <si>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</si>
  <si>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</si>
  <si>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</si>
  <si>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</si>
  <si>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</si>
  <si>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</si>
  <si>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</si>
  <si>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</si>
  <si>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</si>
  <si>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</si>
  <si>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</si>
  <si>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</si>
  <si>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</si>
  <si>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</si>
  <si>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</si>
  <si>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</si>
  <si>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</si>
  <si>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</si>
  <si>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</si>
  <si>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</si>
  <si>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</si>
  <si>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</si>
  <si>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</si>
  <si>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</si>
  <si>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</si>
  <si>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</si>
  <si>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</si>
  <si>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</si>
  <si>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</si>
  <si>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</si>
  <si>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</si>
  <si>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</si>
  <si>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</si>
  <si>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</si>
  <si>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</si>
  <si>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</si>
  <si>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</si>
  <si>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</si>
  <si>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</si>
  <si>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</si>
  <si>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</si>
  <si>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</si>
  <si>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</si>
  <si>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</si>
  <si>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</si>
  <si>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</si>
  <si>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</si>
  <si>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</si>
  <si>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</si>
  <si>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</si>
  <si>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</si>
  <si>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</si>
  <si>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</si>
  <si>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</si>
  <si>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</si>
  <si>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</si>
  <si>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</si>
  <si>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</si>
  <si>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</si>
  <si>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</si>
  <si>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</si>
  <si>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</si>
  <si>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</si>
  <si>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</si>
  <si>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</si>
  <si>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</si>
  <si>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</si>
  <si>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</si>
  <si>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</si>
  <si>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</si>
  <si>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</si>
  <si>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</si>
  <si>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</si>
  <si>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</si>
  <si>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</si>
  <si>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</si>
  <si>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</si>
  <si>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</si>
  <si>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</si>
  <si>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</si>
  <si>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</si>
  <si>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</si>
  <si>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</si>
  <si>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</si>
  <si>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</si>
  <si>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</si>
  <si>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</si>
  <si>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</si>
  <si>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</si>
  <si>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</si>
  <si>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</si>
  <si>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</si>
  <si>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</si>
  <si>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</si>
  <si>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</si>
  <si>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</si>
  <si>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</si>
  <si>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</si>
  <si>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</si>
  <si>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</si>
  <si>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</si>
  <si>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</si>
  <si>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</si>
  <si>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</si>
  <si>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</si>
  <si>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</si>
  <si>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</si>
  <si>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</si>
  <si>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</si>
  <si>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</si>
  <si>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</si>
  <si>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</si>
  <si>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</si>
  <si>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</si>
  <si>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</si>
  <si>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</si>
  <si>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</si>
  <si>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</si>
  <si>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</si>
  <si>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</si>
  <si>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</si>
  <si>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</si>
  <si>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</si>
  <si>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</si>
  <si>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</si>
  <si>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</si>
  <si>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</si>
  <si>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</si>
  <si>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</si>
  <si>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</si>
  <si>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</si>
  <si>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</si>
  <si>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</si>
  <si>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</si>
  <si>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</si>
  <si>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</si>
  <si>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</si>
  <si>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</si>
  <si>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</si>
  <si>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</si>
  <si>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</si>
  <si>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</si>
  <si>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</si>
  <si>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</si>
  <si>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</si>
  <si>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</si>
  <si>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</si>
  <si>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</si>
  <si>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</si>
  <si>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</si>
  <si>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</si>
  <si>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</si>
  <si>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</si>
  <si>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</si>
  <si>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</si>
  <si>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</si>
  <si>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</si>
  <si>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</si>
  <si>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</si>
  <si>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</si>
  <si>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</si>
  <si>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</si>
  <si>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</si>
  <si>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</si>
  <si>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</si>
  <si>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</si>
  <si>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</si>
  <si>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</si>
  <si>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</si>
  <si>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</si>
  <si>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</si>
  <si>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</si>
  <si>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</si>
  <si>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</si>
  <si>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</si>
  <si>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</si>
  <si>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</si>
  <si>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</si>
  <si>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</si>
  <si>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</si>
  <si>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</si>
  <si>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</si>
  <si>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</si>
  <si>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</si>
  <si>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</si>
  <si>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</si>
  <si>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</si>
  <si>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</si>
  <si>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</si>
  <si>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</si>
  <si>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</si>
  <si>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</si>
  <si>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</si>
  <si>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</si>
  <si>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</si>
  <si>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</si>
  <si>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</si>
  <si>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</si>
  <si>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</si>
  <si>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</si>
  <si>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</si>
  <si>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</si>
  <si>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</si>
  <si>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</si>
  <si>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</si>
  <si>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</si>
  <si>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</si>
  <si>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</si>
  <si>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</si>
  <si>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</si>
  <si>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</si>
  <si>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</si>
  <si>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</si>
  <si>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</si>
  <si>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</si>
  <si>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</si>
  <si>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</si>
  <si>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</si>
  <si>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</si>
  <si>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</si>
  <si>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</si>
  <si>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</si>
  <si>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</si>
  <si>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</si>
  <si>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</si>
  <si>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</si>
  <si>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</si>
  <si>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</si>
  <si>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</si>
  <si>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</si>
  <si>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</si>
  <si>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</si>
  <si>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</si>
  <si>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</si>
  <si>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</si>
  <si>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</si>
  <si>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</si>
  <si>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</si>
  <si>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</si>
  <si>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</si>
  <si>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</si>
  <si>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</si>
  <si>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</si>
  <si>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</si>
  <si>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</si>
  <si>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</si>
  <si>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</si>
  <si>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</si>
  <si>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</si>
  <si>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</si>
  <si>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</si>
  <si>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</si>
  <si>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</si>
  <si>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</si>
  <si>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</si>
  <si>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</si>
  <si>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</si>
  <si>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</si>
  <si>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</si>
  <si>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</si>
  <si>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</si>
  <si>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</si>
  <si>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</si>
  <si>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</si>
  <si>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</si>
  <si>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</si>
  <si>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</si>
  <si>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</si>
  <si>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</si>
  <si>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</si>
  <si>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</si>
  <si>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</si>
  <si>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</si>
  <si>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</si>
  <si>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</si>
  <si>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</si>
  <si>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</si>
  <si>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</si>
  <si>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</si>
  <si>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</si>
  <si>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</si>
  <si>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</si>
  <si>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</si>
  <si>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</si>
  <si>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</si>
  <si>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</si>
  <si>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</si>
  <si>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</si>
  <si>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</si>
  <si>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</si>
  <si>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</si>
  <si>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</si>
  <si>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</si>
  <si>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</si>
  <si>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</si>
  <si>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</si>
  <si>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</si>
  <si>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</si>
  <si>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</si>
  <si>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</si>
  <si>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</si>
  <si>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</si>
  <si>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</si>
  <si>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</si>
  <si>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</si>
  <si>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</si>
  <si>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</si>
  <si>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</si>
  <si>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</si>
  <si>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</si>
  <si>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</si>
  <si>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</si>
  <si>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</si>
  <si>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</si>
  <si>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</si>
  <si>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</si>
  <si>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</si>
  <si>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</si>
  <si>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</si>
  <si>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</si>
  <si>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</si>
  <si>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</si>
  <si>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</si>
  <si>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</si>
  <si>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</si>
  <si>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</si>
  <si>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</si>
  <si>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</si>
  <si>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</si>
  <si>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</si>
  <si>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</si>
  <si>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</si>
  <si>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</si>
  <si>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</si>
  <si>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</si>
  <si>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</si>
  <si>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</si>
  <si>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</si>
  <si>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</si>
  <si>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</si>
  <si>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</si>
  <si>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</si>
  <si>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</si>
  <si>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</si>
  <si>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</si>
  <si>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</si>
  <si>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</si>
  <si>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</si>
  <si>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</si>
  <si>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</si>
  <si>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</si>
  <si>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</si>
  <si>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</si>
  <si>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</si>
  <si>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</si>
  <si>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</si>
  <si>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</si>
  <si>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</si>
  <si>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</si>
  <si>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</si>
  <si>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</si>
  <si>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</si>
  <si>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</si>
  <si>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</si>
  <si>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</si>
  <si>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</si>
  <si>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</si>
  <si>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</si>
  <si>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</si>
  <si>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</si>
  <si>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</si>
  <si>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</si>
  <si>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</si>
  <si>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</si>
  <si>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</si>
  <si>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</si>
  <si>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</si>
  <si>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</si>
  <si>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</si>
  <si>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</si>
  <si>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</si>
  <si>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</si>
  <si>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</si>
  <si>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</si>
  <si>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</si>
  <si>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</si>
  <si>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</si>
  <si>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</si>
  <si>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</si>
  <si>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</si>
  <si>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</si>
  <si>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</si>
  <si>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</si>
  <si>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</si>
  <si>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</si>
  <si>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</si>
  <si>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</si>
  <si>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</si>
  <si>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</si>
  <si>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</si>
  <si>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</si>
  <si>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</si>
  <si>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</si>
  <si>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</si>
  <si>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</si>
  <si>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</si>
  <si>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</si>
  <si>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</si>
  <si>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</si>
  <si>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</si>
  <si>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</si>
  <si>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</si>
  <si>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</si>
  <si>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</si>
  <si>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</si>
  <si>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</si>
  <si>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</si>
  <si>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</si>
  <si>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</si>
  <si>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</si>
  <si>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</si>
  <si>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</si>
  <si>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</si>
  <si>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</si>
  <si>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</si>
  <si>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</si>
  <si>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</si>
  <si>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</si>
  <si>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</si>
  <si>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</si>
  <si>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</si>
  <si>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</si>
  <si>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</si>
  <si>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</si>
  <si>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</si>
  <si>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</si>
  <si>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</si>
  <si>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</si>
  <si>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</si>
  <si>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</si>
  <si>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</si>
  <si>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</si>
  <si>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</si>
  <si>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</si>
  <si>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</si>
  <si>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</si>
  <si>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</si>
  <si>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</si>
  <si>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</si>
  <si>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</si>
  <si>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</si>
  <si>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</si>
  <si>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</si>
  <si>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</si>
  <si>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</si>
  <si>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</si>
  <si>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</si>
  <si>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</si>
  <si>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</si>
  <si>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</si>
  <si>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</si>
  <si>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</si>
  <si>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</si>
  <si>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</si>
  <si>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</si>
  <si>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</si>
  <si>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</si>
  <si>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</si>
  <si>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</si>
  <si>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</si>
  <si>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</si>
  <si>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</si>
  <si>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</si>
  <si>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</si>
  <si>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</si>
  <si>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</si>
  <si>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</si>
  <si>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</si>
  <si>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</si>
  <si>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</si>
  <si>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</si>
  <si>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</si>
  <si>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</si>
  <si>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</si>
  <si>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</si>
  <si>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</si>
  <si>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</si>
  <si>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</si>
  <si>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</si>
  <si>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</si>
  <si>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</si>
  <si>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</si>
  <si>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</si>
  <si>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</si>
  <si>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</si>
  <si>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</si>
  <si>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</si>
  <si>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</si>
  <si>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</si>
  <si>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</si>
  <si>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</si>
  <si>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</si>
  <si>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</si>
  <si>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</si>
  <si>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</si>
  <si>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</si>
  <si>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</si>
  <si>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</si>
  <si>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</si>
  <si>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</si>
  <si>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</si>
  <si>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</si>
  <si>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</si>
  <si>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</si>
  <si>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</si>
  <si>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</si>
  <si>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</si>
  <si>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</si>
  <si>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</si>
  <si>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</si>
  <si>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</si>
  <si>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</si>
  <si>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</si>
  <si>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</si>
  <si>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</si>
  <si>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</si>
  <si>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</si>
  <si>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</si>
  <si>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</si>
  <si>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</si>
  <si>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</si>
  <si>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</si>
  <si>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</si>
  <si>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</si>
  <si>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</si>
  <si>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</si>
  <si>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</si>
  <si>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</si>
  <si>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</si>
  <si>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</si>
  <si>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</si>
  <si>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</si>
  <si>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</si>
  <si>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</si>
  <si>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</si>
  <si>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</si>
  <si>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</si>
  <si>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</si>
  <si>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</si>
  <si>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</si>
  <si>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</si>
  <si>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</si>
  <si>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</si>
  <si>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</si>
  <si>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</si>
  <si>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</si>
  <si>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</si>
  <si>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</si>
  <si>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</si>
  <si>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</si>
  <si>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</si>
  <si>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</si>
  <si>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</si>
  <si>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</si>
  <si>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</si>
  <si>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</si>
  <si>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</si>
  <si>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</si>
  <si>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</si>
  <si>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</si>
  <si>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</si>
  <si>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</si>
  <si>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</si>
  <si>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</si>
  <si>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</si>
  <si>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</si>
  <si>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</si>
  <si>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</si>
  <si>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</si>
  <si>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</si>
  <si>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</si>
  <si>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</si>
  <si>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</si>
  <si>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</si>
  <si>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</si>
  <si>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</si>
  <si>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</si>
  <si>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</si>
  <si>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</si>
  <si>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</si>
  <si>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</si>
  <si>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</si>
  <si>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</si>
  <si>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</si>
  <si>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</si>
  <si>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</si>
  <si>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</si>
  <si>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</si>
  <si>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</si>
  <si>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</si>
  <si>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</si>
  <si>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</si>
  <si>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</si>
  <si>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</si>
  <si>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</si>
  <si>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</si>
  <si>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</si>
  <si>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</si>
  <si>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</si>
  <si>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</si>
  <si>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</si>
  <si>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</si>
  <si>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</si>
  <si>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</si>
  <si>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</si>
  <si>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</si>
  <si>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</si>
  <si>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</si>
  <si>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</si>
  <si>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</si>
  <si>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</si>
  <si>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</si>
  <si>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</si>
  <si>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</si>
  <si>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</si>
  <si>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</si>
  <si>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</si>
  <si>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</si>
  <si>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</si>
  <si>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</si>
  <si>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</si>
  <si>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</si>
  <si>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</si>
  <si>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</si>
  <si>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</si>
  <si>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</si>
  <si>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</si>
  <si>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</si>
  <si>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</si>
  <si>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</si>
  <si>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</si>
  <si>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</si>
  <si>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</si>
  <si>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</si>
  <si>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</si>
  <si>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</si>
  <si>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</si>
  <si>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</si>
  <si>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</si>
  <si>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</si>
  <si>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</si>
  <si>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</si>
  <si>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</si>
  <si>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</si>
  <si>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</si>
  <si>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</si>
  <si>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</si>
  <si>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</si>
  <si>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</si>
  <si>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</si>
  <si>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</si>
  <si>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</si>
  <si>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</si>
  <si>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</si>
  <si>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</si>
  <si>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</si>
  <si>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</si>
  <si>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</si>
  <si>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</si>
  <si>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</si>
  <si>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</si>
  <si>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</si>
  <si>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</si>
  <si>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</si>
  <si>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</si>
  <si>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</si>
  <si>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</si>
  <si>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</si>
  <si>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</si>
  <si>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</si>
  <si>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</si>
  <si>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</si>
  <si>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</si>
  <si>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</si>
  <si>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</si>
  <si>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</si>
  <si>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</si>
  <si>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</si>
  <si>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</si>
  <si>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</si>
  <si>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</si>
  <si>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</si>
  <si>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</si>
  <si>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</si>
  <si>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</si>
  <si>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</si>
  <si>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</si>
  <si>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</si>
  <si>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</si>
  <si>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</si>
  <si>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</si>
  <si>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</si>
  <si>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</si>
  <si>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</si>
  <si>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</si>
  <si>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</si>
  <si>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</si>
  <si>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</si>
  <si>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</si>
  <si>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</si>
  <si>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</si>
  <si>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</si>
  <si>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</si>
  <si>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</si>
  <si>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</si>
  <si>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</si>
  <si>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</si>
  <si>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</si>
  <si>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</si>
  <si>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</si>
  <si>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</si>
  <si>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</si>
  <si>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</si>
  <si>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</si>
  <si>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</si>
  <si>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</si>
  <si>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</si>
  <si>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</si>
  <si>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</si>
  <si>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</si>
  <si>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</si>
  <si>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</si>
  <si>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</si>
  <si>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</si>
  <si>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</si>
  <si>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</si>
  <si>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</si>
  <si>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</si>
  <si>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</si>
  <si>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</si>
  <si>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</si>
  <si>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</si>
  <si>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</si>
  <si>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</si>
  <si>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</si>
  <si>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</si>
  <si>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</si>
  <si>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</si>
  <si>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</si>
  <si>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</si>
  <si>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</si>
  <si>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</si>
  <si>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</si>
  <si>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</si>
  <si>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</si>
  <si>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</si>
  <si>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</si>
  <si>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</si>
  <si>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</si>
  <si>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</si>
  <si>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</si>
  <si>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</si>
  <si>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</si>
  <si>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</si>
  <si>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</si>
  <si>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</si>
  <si>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</si>
  <si>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</si>
  <si>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</si>
  <si>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</si>
  <si>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</si>
  <si>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</si>
  <si>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</si>
  <si>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</si>
  <si>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</si>
  <si>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</si>
  <si>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</si>
  <si>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</si>
  <si>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</si>
  <si>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</si>
  <si>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</si>
  <si>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</si>
  <si>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</si>
  <si>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</si>
  <si>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</si>
  <si>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</si>
  <si>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</si>
  <si>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</si>
  <si>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</si>
  <si>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</si>
  <si>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</si>
  <si>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</si>
  <si>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</si>
  <si>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</si>
  <si>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</si>
  <si>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</si>
  <si>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</si>
  <si>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</si>
  <si>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</si>
  <si>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</si>
  <si>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</si>
  <si>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</si>
  <si>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</si>
  <si>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</si>
  <si>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</si>
  <si>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</si>
  <si>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</si>
  <si>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</si>
  <si>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</si>
  <si>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</si>
  <si>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</si>
  <si>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</si>
  <si>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</si>
  <si>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</si>
  <si>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</si>
  <si>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</si>
  <si>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</si>
  <si>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</si>
  <si>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</si>
  <si>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</si>
  <si>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</si>
  <si>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</si>
  <si>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</si>
  <si>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</si>
  <si>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</si>
  <si>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</si>
  <si>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</si>
  <si>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</si>
  <si>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</si>
  <si>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</si>
  <si>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</si>
  <si>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</si>
  <si>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</si>
  <si>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</si>
  <si>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</si>
  <si>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</si>
  <si>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</si>
  <si>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</si>
  <si>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</si>
  <si>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</si>
  <si>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</si>
  <si>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</si>
  <si>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</si>
  <si>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</si>
  <si>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</si>
  <si>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</si>
  <si>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</si>
  <si>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</si>
  <si>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</si>
  <si>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</si>
  <si>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</si>
  <si>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</si>
  <si>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</si>
  <si>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</si>
  <si>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</si>
  <si>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</si>
  <si>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</si>
  <si>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</si>
  <si>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</si>
  <si>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</si>
  <si>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</si>
  <si>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</si>
  <si>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</si>
  <si>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</si>
  <si>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</si>
  <si>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</si>
  <si>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</si>
  <si>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</si>
  <si>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</si>
  <si>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</si>
  <si>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</si>
  <si>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</si>
  <si>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</si>
  <si>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</si>
  <si>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</si>
  <si>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</si>
  <si>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</si>
  <si>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</si>
  <si>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</si>
  <si>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</si>
  <si>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</si>
  <si>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</si>
  <si>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</si>
  <si>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</si>
  <si>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</si>
  <si>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</si>
  <si>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</si>
  <si>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</si>
  <si>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</si>
  <si>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</si>
  <si>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</si>
  <si>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</si>
  <si>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</si>
  <si>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</si>
  <si>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</si>
  <si>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</si>
  <si>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</si>
  <si>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</si>
  <si>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</si>
  <si>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</si>
  <si>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</si>
  <si>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</si>
  <si>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</si>
  <si>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</si>
  <si>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</si>
  <si>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</si>
  <si>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</si>
  <si>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</si>
  <si>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</si>
  <si>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</si>
  <si>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</si>
  <si>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</si>
  <si>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</si>
  <si>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</si>
  <si>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</si>
  <si>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</si>
  <si>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</si>
  <si>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</si>
  <si>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</si>
  <si>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</si>
  <si>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</si>
  <si>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</si>
  <si>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</si>
  <si>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</si>
  <si>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</si>
  <si>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</si>
  <si>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</si>
  <si>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</si>
  <si>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</si>
  <si>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</si>
  <si>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</si>
  <si>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</si>
  <si>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</si>
  <si>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</si>
  <si>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</si>
  <si>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</si>
  <si>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</si>
  <si>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</si>
  <si>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</si>
  <si>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</si>
  <si>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</si>
  <si>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</si>
  <si>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</si>
  <si>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</si>
  <si>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</si>
  <si>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</si>
  <si>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</si>
  <si>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</si>
  <si>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</si>
  <si>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</si>
  <si>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</si>
  <si>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</si>
  <si>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</si>
  <si>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</si>
  <si>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</si>
  <si>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</si>
  <si>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</si>
  <si>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</si>
  <si>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</si>
  <si>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</si>
  <si>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</si>
  <si>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</si>
  <si>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</si>
  <si>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</si>
  <si>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</si>
  <si>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</si>
  <si>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</si>
  <si>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</si>
  <si>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</si>
  <si>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</si>
  <si>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</si>
  <si>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</si>
  <si>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</si>
  <si>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</si>
  <si>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</si>
  <si>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</si>
  <si>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</si>
  <si>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</si>
  <si>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</si>
  <si>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</si>
  <si>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</si>
  <si>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</si>
  <si>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</si>
  <si>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</si>
  <si>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</si>
  <si>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</si>
  <si>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</si>
  <si>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</si>
  <si>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</si>
  <si>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</si>
  <si>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</si>
  <si>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</si>
  <si>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</si>
  <si>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</si>
  <si>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</si>
  <si>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</si>
  <si>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</si>
  <si>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</si>
  <si>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</si>
  <si>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</si>
  <si>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</si>
  <si>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</si>
  <si>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</si>
  <si>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</si>
  <si>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</si>
  <si>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</si>
  <si>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</si>
  <si>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</si>
  <si>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</si>
  <si>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</si>
  <si>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</si>
  <si>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</si>
  <si>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</si>
  <si>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</si>
  <si>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</si>
  <si>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</si>
  <si>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</si>
  <si>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</si>
  <si>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</si>
  <si>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</si>
  <si>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</si>
  <si>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</si>
  <si>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</si>
  <si>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</si>
  <si>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</si>
  <si>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</si>
  <si>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</si>
  <si>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</si>
  <si>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</si>
  <si>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</si>
  <si>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</si>
  <si>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</si>
  <si>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</si>
  <si>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</si>
  <si>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</si>
  <si>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</si>
  <si>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</si>
  <si>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</si>
  <si>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</si>
  <si>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</si>
  <si>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</si>
  <si>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</si>
  <si>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</si>
  <si>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</si>
  <si>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</si>
  <si>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</si>
  <si>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</si>
  <si>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</si>
  <si>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</si>
  <si>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</si>
  <si>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</si>
  <si>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</si>
  <si>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</si>
  <si>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</si>
  <si>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</si>
  <si>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</si>
  <si>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</si>
  <si>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</si>
  <si>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</si>
  <si>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</si>
  <si>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</si>
  <si>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</si>
  <si>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</si>
  <si>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</si>
  <si>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</si>
  <si>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</si>
  <si>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</si>
  <si>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</si>
  <si>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</si>
  <si>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</si>
  <si>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</si>
  <si>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</si>
  <si>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</si>
  <si>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</si>
  <si>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</si>
  <si>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</si>
  <si>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</si>
  <si>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</si>
  <si>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</si>
  <si>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</si>
  <si>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</si>
  <si>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</si>
  <si>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</si>
  <si>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</si>
  <si>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</si>
  <si>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</si>
  <si>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</si>
  <si>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</si>
  <si>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</si>
  <si>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</si>
  <si>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</si>
  <si>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</si>
  <si>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</si>
  <si>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</si>
  <si>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</si>
  <si>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</si>
  <si>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</si>
  <si>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</si>
  <si>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</si>
  <si>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</si>
  <si>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</si>
  <si>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</si>
  <si>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</si>
  <si>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</si>
  <si>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</si>
  <si>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</si>
  <si>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</si>
  <si>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</si>
  <si>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</si>
  <si>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</si>
  <si>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</si>
  <si>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</si>
  <si>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</si>
  <si>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</si>
  <si>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</si>
  <si>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</si>
  <si>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</si>
  <si>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</si>
  <si>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</si>
  <si>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</si>
  <si>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</si>
  <si>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</si>
  <si>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</si>
  <si>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</si>
  <si>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</si>
  <si>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</si>
  <si>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</si>
  <si>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</si>
  <si>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</si>
  <si>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</si>
  <si>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</si>
  <si>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</si>
  <si>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</si>
  <si>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</si>
  <si>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</si>
  <si>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</si>
  <si>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</si>
  <si>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</si>
  <si>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</si>
  <si>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</si>
  <si>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</si>
  <si>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</si>
  <si>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</si>
  <si>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</si>
  <si>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</si>
  <si>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</si>
  <si>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</si>
  <si>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</si>
  <si>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</si>
  <si>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</si>
  <si>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</si>
  <si>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</si>
  <si>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</si>
  <si>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</si>
  <si>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</si>
  <si>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</si>
  <si>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</si>
  <si>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</si>
  <si>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</si>
  <si>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</si>
  <si>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</si>
  <si>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</si>
  <si>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</si>
  <si>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</si>
  <si>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</si>
  <si>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</si>
  <si>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</si>
  <si>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</si>
  <si>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</si>
  <si>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</si>
  <si>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</si>
  <si>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</si>
  <si>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</si>
  <si>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</si>
  <si>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</si>
  <si>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</si>
  <si>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</si>
  <si>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</si>
  <si>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</si>
  <si>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</si>
  <si>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</si>
  <si>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</si>
  <si>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</si>
  <si>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</si>
  <si>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</si>
  <si>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</si>
  <si>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</si>
  <si>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</si>
  <si>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</si>
  <si>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</si>
  <si>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</si>
  <si>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</si>
  <si>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</si>
  <si>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</si>
  <si>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</si>
  <si>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</si>
  <si>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</si>
  <si>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</si>
  <si>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</si>
  <si>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</si>
  <si>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</si>
  <si>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</si>
  <si>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</si>
  <si>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</si>
  <si>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</si>
  <si>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</si>
  <si>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</si>
  <si>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</si>
  <si>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</si>
  <si>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</si>
  <si>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</si>
  <si>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</si>
  <si>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</si>
  <si>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</si>
  <si>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</si>
  <si>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</si>
  <si>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</si>
  <si>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</si>
  <si>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</si>
  <si>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</si>
  <si>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</si>
  <si>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</si>
  <si>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</si>
  <si>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</si>
  <si>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</si>
  <si>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</si>
  <si>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</si>
  <si>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</si>
  <si>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</si>
  <si>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</si>
  <si>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</si>
  <si>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</si>
  <si>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</si>
  <si>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</si>
  <si>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</si>
  <si>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</si>
  <si>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</si>
  <si>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</si>
  <si>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</si>
  <si>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</si>
  <si>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</si>
  <si>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</si>
  <si>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</si>
  <si>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</si>
  <si>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</si>
  <si>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</si>
  <si>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</si>
  <si>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</si>
  <si>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</si>
  <si>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</si>
  <si>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</si>
  <si>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</si>
  <si>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</si>
  <si>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</si>
  <si>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</si>
  <si>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</si>
  <si>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</si>
  <si>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</si>
  <si>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</si>
  <si>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</si>
  <si>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</si>
  <si>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</si>
  <si>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</si>
  <si>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</si>
  <si>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</si>
  <si>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</si>
  <si>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</si>
  <si>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</si>
  <si>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</si>
  <si>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</si>
  <si>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</si>
  <si>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</si>
  <si>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</si>
  <si>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</si>
  <si>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</si>
  <si>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</si>
  <si>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</si>
  <si>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</si>
  <si>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</si>
  <si>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</si>
  <si>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</si>
  <si>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</si>
  <si>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</si>
  <si>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</si>
  <si>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</si>
  <si>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</si>
  <si>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</si>
  <si>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</si>
  <si>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</si>
  <si>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</si>
  <si>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</si>
  <si>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</si>
  <si>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</si>
  <si>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</si>
  <si>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</si>
  <si>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</si>
  <si>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</si>
  <si>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</si>
  <si>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</si>
  <si>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</si>
  <si>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</si>
  <si>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</si>
  <si>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</si>
  <si>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</si>
  <si>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</si>
  <si>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</si>
  <si>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</si>
  <si>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</si>
  <si>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</si>
  <si>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</si>
  <si>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</si>
  <si>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</si>
  <si>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</si>
  <si>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</si>
  <si>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</si>
  <si>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</si>
  <si>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</si>
  <si>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</si>
  <si>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</si>
  <si>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</si>
  <si>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</si>
  <si>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</si>
  <si>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</si>
  <si>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</si>
  <si>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</si>
  <si>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</si>
  <si>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</si>
  <si>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</si>
  <si>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</si>
  <si>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</si>
  <si>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</si>
  <si>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</si>
  <si>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</si>
  <si>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</si>
  <si>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</si>
  <si>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</si>
  <si>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</si>
  <si>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</si>
  <si>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</si>
  <si>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</si>
  <si>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</si>
  <si>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</si>
  <si>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</si>
  <si>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</si>
  <si>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</si>
  <si>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</si>
  <si>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</si>
  <si>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</si>
  <si>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</si>
  <si>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</si>
  <si>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</si>
  <si>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</si>
  <si>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</si>
  <si>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</si>
  <si>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</si>
  <si>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</si>
  <si>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</si>
  <si>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</si>
  <si>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</si>
  <si>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</si>
  <si>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</si>
  <si>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</si>
  <si>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</si>
  <si>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</si>
  <si>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</si>
  <si>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</si>
  <si>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</si>
  <si>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</si>
  <si>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</si>
  <si>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</si>
  <si>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</si>
  <si>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</si>
  <si>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</si>
  <si>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</si>
  <si>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</si>
  <si>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</si>
  <si>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</si>
  <si>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</si>
  <si>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</si>
  <si>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</si>
  <si>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</si>
  <si>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</si>
  <si>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</si>
  <si>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</si>
  <si>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</si>
  <si>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</si>
  <si>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</si>
  <si>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</si>
  <si>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</si>
  <si>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</si>
  <si>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</si>
  <si>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</si>
  <si>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</si>
  <si>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</si>
  <si>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</si>
  <si>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</si>
  <si>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</si>
  <si>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</si>
  <si>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</si>
  <si>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</si>
  <si>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</si>
  <si>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</si>
  <si>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</si>
  <si>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</si>
  <si>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</si>
  <si>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</si>
  <si>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</si>
  <si>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</si>
  <si>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</si>
  <si>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</si>
  <si>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</si>
  <si>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</si>
  <si>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</si>
  <si>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</si>
  <si>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</si>
  <si>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</si>
  <si>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</si>
  <si>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</si>
  <si>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</si>
  <si>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</si>
  <si>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</si>
  <si>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</si>
  <si>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</si>
  <si>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</si>
  <si>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</si>
  <si>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</si>
  <si>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</si>
  <si>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</si>
  <si>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</si>
  <si>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</si>
  <si>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</si>
  <si>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</si>
  <si>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</si>
  <si>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</si>
  <si>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</si>
  <si>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</si>
  <si>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</si>
  <si>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</si>
  <si>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</si>
  <si>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</si>
  <si>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</si>
  <si>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</si>
  <si>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</si>
  <si>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</si>
  <si>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</si>
  <si>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</si>
  <si>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</si>
  <si>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</si>
  <si>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</si>
  <si>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</si>
  <si>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</si>
  <si>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</si>
  <si>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</si>
  <si>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</si>
  <si>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</si>
  <si>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</si>
  <si>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</si>
  <si>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</si>
  <si>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</si>
  <si>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</si>
  <si>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</si>
  <si>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</si>
  <si>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</si>
  <si>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</si>
  <si>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</si>
  <si>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</si>
  <si>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</si>
  <si>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</si>
  <si>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</si>
  <si>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</si>
  <si>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</si>
  <si>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</si>
  <si>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</si>
  <si>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</si>
  <si>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</si>
  <si>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</si>
  <si>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</si>
  <si>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</si>
  <si>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</si>
  <si>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</si>
  <si>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</si>
  <si>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</si>
  <si>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</si>
  <si>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</si>
  <si>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</si>
  <si>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</si>
  <si>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</si>
  <si>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</si>
  <si>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</si>
  <si>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</si>
  <si>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</si>
  <si>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</si>
  <si>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</si>
  <si>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</si>
  <si>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</si>
  <si>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</si>
  <si>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</si>
  <si>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</si>
  <si>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</si>
  <si>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</si>
  <si>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</si>
  <si>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</si>
  <si>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</si>
  <si>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</si>
  <si>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</si>
  <si>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</si>
  <si>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</si>
  <si>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</si>
  <si>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</si>
  <si>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</si>
  <si>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</si>
  <si>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</si>
  <si>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</si>
  <si>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</si>
  <si>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</si>
  <si>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</si>
  <si>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</si>
  <si>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</si>
  <si>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</si>
  <si>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</si>
  <si>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</si>
  <si>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</si>
  <si>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</si>
  <si>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</si>
  <si>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</si>
  <si>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</si>
  <si>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</si>
  <si>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</si>
  <si>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</si>
  <si>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</si>
  <si>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</si>
  <si>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</si>
  <si>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</si>
  <si>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</si>
  <si>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</si>
  <si>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</si>
  <si>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</si>
  <si>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</si>
  <si>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</si>
  <si>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</si>
  <si>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</si>
  <si>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</si>
  <si>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</si>
  <si>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</si>
  <si>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</si>
  <si>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</si>
  <si>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</si>
  <si>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</si>
  <si>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</si>
  <si>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</si>
  <si>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</si>
  <si>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</si>
  <si>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</si>
  <si>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</si>
  <si>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</si>
  <si>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</si>
  <si>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</si>
  <si>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</si>
  <si>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</si>
  <si>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</si>
  <si>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</si>
  <si>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</si>
  <si>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</si>
  <si>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</si>
  <si>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</si>
  <si>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</si>
  <si>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</si>
  <si>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</si>
  <si>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</si>
  <si>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</si>
  <si>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</si>
  <si>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</si>
  <si>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</si>
  <si>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</si>
  <si>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</si>
  <si>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</si>
  <si>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</si>
  <si>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</si>
  <si>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</si>
  <si>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</si>
  <si>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</si>
  <si>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</si>
  <si>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</si>
  <si>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</si>
  <si>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</si>
  <si>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</si>
  <si>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</si>
  <si>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</si>
  <si>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</si>
  <si>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</si>
  <si>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</si>
  <si>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</si>
  <si>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</si>
  <si>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</si>
  <si>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</si>
  <si>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</si>
  <si>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</si>
  <si>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</si>
  <si>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</si>
  <si>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</si>
  <si>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</si>
  <si>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</si>
  <si>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</si>
  <si>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</si>
  <si>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</si>
  <si>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</si>
  <si>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</si>
  <si>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</si>
  <si>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</si>
  <si>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</si>
  <si>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</si>
  <si>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</si>
  <si>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</si>
  <si>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</si>
  <si>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</si>
  <si>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</si>
  <si>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</si>
  <si>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</si>
  <si>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</si>
  <si>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</si>
  <si>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</si>
  <si>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</si>
  <si>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</si>
  <si>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</si>
  <si>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</si>
  <si>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</si>
  <si>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</si>
  <si>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</si>
  <si>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</si>
  <si>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</si>
  <si>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</si>
  <si>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</si>
  <si>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</si>
  <si>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</si>
  <si>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</si>
  <si>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</si>
  <si>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</si>
  <si>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</si>
  <si>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</si>
  <si>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</si>
  <si>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</si>
  <si>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</si>
  <si>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</si>
  <si>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</si>
  <si>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</si>
  <si>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</si>
  <si>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</si>
  <si>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</si>
  <si>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</si>
  <si>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</si>
  <si>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</si>
  <si>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</si>
  <si>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</si>
  <si>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</si>
  <si>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</si>
  <si>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</si>
  <si>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</si>
  <si>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</si>
  <si>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</si>
  <si>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</si>
  <si>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</si>
  <si>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</si>
  <si>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</si>
  <si>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</si>
  <si>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</si>
  <si>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</si>
  <si>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</si>
  <si>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</si>
  <si>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</si>
  <si>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</si>
  <si>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</si>
  <si>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</si>
  <si>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</si>
  <si>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</si>
  <si>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</si>
  <si>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</si>
  <si>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</si>
  <si>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</si>
  <si>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</si>
  <si>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</si>
  <si>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</si>
  <si>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</si>
  <si>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</si>
  <si>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</si>
  <si>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</si>
  <si>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</si>
  <si>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</si>
  <si>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</si>
  <si>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</si>
  <si>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</si>
  <si>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</si>
  <si>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</si>
  <si>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</si>
  <si>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</si>
  <si>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</si>
  <si>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</si>
  <si>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</si>
  <si>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</si>
  <si>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</si>
  <si>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</si>
  <si>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</si>
  <si>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</si>
  <si>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</si>
  <si>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</si>
  <si>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</si>
  <si>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</si>
  <si>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</si>
  <si>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</si>
  <si>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</si>
  <si>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</si>
  <si>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</si>
  <si>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</si>
  <si>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</si>
  <si>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</si>
  <si>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</si>
  <si>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</si>
  <si>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</si>
  <si>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</si>
  <si>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</si>
  <si>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</si>
  <si>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</si>
  <si>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</si>
  <si>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</si>
  <si>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</si>
  <si>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</si>
  <si>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</si>
  <si>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</si>
  <si>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</si>
  <si>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</si>
  <si>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</si>
  <si>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</si>
  <si>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</si>
  <si>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</si>
  <si>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</si>
  <si>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</si>
  <si>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</si>
  <si>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</si>
  <si>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</si>
  <si>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</si>
  <si>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</si>
  <si>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</si>
  <si>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</si>
  <si>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</si>
  <si>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</si>
  <si>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</si>
  <si>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</si>
  <si>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</si>
  <si>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</si>
  <si>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</si>
  <si>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</si>
  <si>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</si>
  <si>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</si>
  <si>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</si>
  <si>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</si>
  <si>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</si>
  <si>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</si>
  <si>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</si>
  <si>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</si>
  <si>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</si>
  <si>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</si>
  <si>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</si>
  <si>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</si>
  <si>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</si>
  <si>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</si>
  <si>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</si>
  <si>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</si>
  <si>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</si>
  <si>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</si>
  <si>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</si>
  <si>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</si>
  <si>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</si>
  <si>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</si>
  <si>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</si>
  <si>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</si>
  <si>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</si>
  <si>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</si>
  <si>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</si>
  <si>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</si>
  <si>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</si>
  <si>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</si>
  <si>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</si>
  <si>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</si>
  <si>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</si>
  <si>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</si>
  <si>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</si>
  <si>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</si>
  <si>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</si>
  <si>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</si>
  <si>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</si>
  <si>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</si>
  <si>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</si>
  <si>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</si>
  <si>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</si>
  <si>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</si>
  <si>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</si>
  <si>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</si>
  <si>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</si>
  <si>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</si>
  <si>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</si>
  <si>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</si>
  <si>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</si>
  <si>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</si>
  <si>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</si>
  <si>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</si>
  <si>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</si>
  <si>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</si>
  <si>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</si>
  <si>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</si>
  <si>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</si>
  <si>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</si>
  <si>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</si>
  <si>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</si>
  <si>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</si>
  <si>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</si>
  <si>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</si>
  <si>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</si>
  <si>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</si>
  <si>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</si>
  <si>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</si>
  <si>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</si>
  <si>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</si>
  <si>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</si>
  <si>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</si>
  <si>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</si>
  <si>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</si>
  <si>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</si>
  <si>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</si>
  <si>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</si>
  <si>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</si>
  <si>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</si>
  <si>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</si>
  <si>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</si>
  <si>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</si>
  <si>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</si>
  <si>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</si>
  <si>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</si>
  <si>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</si>
  <si>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</si>
  <si>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</si>
  <si>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</si>
  <si>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</si>
  <si>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</si>
  <si>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</si>
  <si>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</si>
  <si>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</si>
  <si>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</si>
  <si>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</si>
  <si>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</si>
  <si>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</si>
  <si>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</si>
  <si>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</si>
  <si>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</si>
  <si>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</si>
  <si>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</si>
  <si>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</si>
  <si>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</si>
  <si>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</si>
  <si>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</si>
  <si>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</si>
  <si>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</si>
  <si>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</si>
  <si>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</si>
  <si>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</si>
  <si>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</si>
  <si>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</si>
  <si>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</si>
  <si>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</si>
  <si>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</si>
  <si>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</si>
  <si>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</si>
  <si>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</si>
  <si>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</si>
  <si>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</si>
  <si>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</si>
  <si>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</si>
  <si>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</si>
  <si>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</si>
  <si>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</si>
  <si>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</si>
  <si>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</si>
  <si>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</si>
  <si>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</si>
  <si>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</si>
  <si>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</si>
  <si>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</si>
  <si>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</si>
  <si>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</si>
  <si>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</si>
  <si>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</si>
  <si>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</si>
  <si>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</si>
  <si>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</si>
  <si>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</si>
  <si>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</si>
  <si>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</si>
  <si>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</si>
  <si>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</si>
  <si>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</si>
  <si>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</si>
  <si>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</si>
  <si>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</si>
  <si>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</si>
  <si>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</si>
  <si>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</si>
  <si>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</si>
  <si>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</si>
  <si>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</si>
  <si>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</si>
  <si>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</si>
  <si>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</si>
  <si>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</si>
  <si>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</si>
  <si>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</si>
  <si>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</si>
  <si>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</si>
  <si>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</si>
  <si>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</si>
  <si>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</si>
  <si>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</si>
  <si>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</si>
  <si>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</si>
  <si>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</si>
  <si>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</si>
  <si>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</si>
  <si>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</si>
  <si>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</si>
  <si>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</si>
  <si>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</si>
  <si>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</si>
  <si>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</si>
  <si>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</si>
  <si>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</si>
  <si>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</si>
  <si>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</si>
  <si>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</si>
  <si>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</si>
  <si>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</si>
  <si>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</si>
  <si>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</si>
  <si>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</si>
  <si>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</si>
  <si>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</si>
  <si>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</si>
  <si>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</si>
  <si>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</si>
  <si>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</si>
  <si>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</si>
  <si>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</si>
  <si>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</si>
  <si>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</si>
  <si>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</si>
  <si>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</si>
  <si>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</si>
  <si>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</si>
  <si>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</si>
  <si>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</si>
  <si>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</si>
  <si>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</si>
  <si>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</si>
  <si>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</si>
  <si>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</si>
  <si>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</si>
  <si>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</si>
  <si>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</si>
  <si>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</si>
  <si>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</si>
  <si>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</si>
  <si>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</si>
  <si>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</si>
  <si>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</si>
  <si>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</si>
  <si>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</si>
  <si>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</si>
  <si>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</si>
  <si>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</si>
  <si>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</si>
  <si>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</si>
  <si>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</si>
  <si>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</si>
  <si>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</si>
  <si>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</si>
  <si>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</si>
  <si>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</si>
  <si>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</si>
  <si>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</si>
  <si>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</si>
  <si>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</si>
  <si>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</si>
  <si>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</si>
  <si>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</si>
  <si>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</si>
  <si>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</si>
  <si>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</si>
  <si>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</si>
  <si>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</si>
  <si>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</si>
  <si>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</si>
  <si>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</si>
  <si>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</si>
  <si>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</si>
  <si>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</si>
  <si>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</si>
  <si>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</si>
  <si>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</si>
  <si>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</si>
  <si>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</si>
  <si>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</si>
  <si>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</si>
  <si>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</si>
  <si>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</si>
  <si>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</si>
  <si>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</si>
  <si>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</si>
  <si>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</si>
  <si>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</si>
  <si>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</si>
  <si>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</si>
  <si>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</si>
  <si>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</si>
  <si>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</si>
  <si>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</si>
  <si>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</si>
  <si>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</si>
  <si>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</si>
  <si>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</si>
  <si>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</si>
  <si>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</si>
  <si>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</si>
  <si>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</si>
  <si>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</si>
  <si>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</si>
  <si>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</si>
  <si>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</si>
  <si>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</si>
  <si>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</si>
  <si>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</si>
  <si>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</si>
  <si>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</si>
  <si>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</si>
  <si>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</si>
  <si>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</si>
  <si>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</si>
  <si>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</si>
  <si>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</si>
  <si>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</si>
  <si>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</si>
  <si>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</si>
  <si>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</si>
  <si>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</si>
  <si>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</si>
  <si>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</si>
  <si>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</si>
  <si>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</si>
  <si>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</si>
  <si>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</si>
  <si>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</si>
  <si>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</si>
  <si>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</si>
  <si>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</si>
  <si>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</si>
  <si>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</si>
  <si>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</si>
  <si>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</si>
  <si>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</si>
  <si>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</si>
  <si>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</si>
  <si>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</si>
  <si>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</si>
  <si>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</si>
  <si>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</si>
  <si>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</si>
  <si>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</si>
  <si>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</si>
  <si>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</si>
  <si>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</si>
  <si>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</si>
  <si>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</si>
  <si>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</si>
  <si>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</si>
  <si>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</si>
  <si>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</si>
  <si>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</si>
  <si>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</si>
  <si>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</si>
  <si>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</si>
  <si>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</si>
  <si>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</si>
  <si>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</si>
  <si>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</si>
  <si>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</si>
  <si>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</si>
  <si>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</si>
  <si>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</si>
  <si>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</si>
  <si>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</si>
  <si>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</si>
  <si>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</si>
  <si>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</si>
  <si>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</si>
  <si>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</si>
  <si>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</si>
  <si>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</si>
  <si>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</si>
  <si>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</si>
  <si>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</si>
  <si>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</si>
  <si>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</si>
  <si>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</si>
  <si>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</si>
  <si>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</si>
  <si>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</si>
  <si>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</si>
  <si>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</si>
  <si>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</si>
  <si>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</si>
  <si>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</si>
  <si>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</si>
  <si>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</si>
  <si>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</si>
  <si>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</si>
  <si>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</si>
  <si>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</si>
  <si>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</si>
  <si>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</si>
  <si>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</si>
  <si>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</si>
  <si>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</si>
  <si>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</si>
  <si>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</si>
  <si>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</si>
  <si>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</si>
  <si>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</si>
  <si>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</si>
  <si>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</si>
  <si>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</si>
  <si>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</si>
  <si>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</si>
  <si>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</si>
  <si>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</si>
  <si>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</si>
  <si>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</si>
  <si>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</si>
  <si>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</si>
  <si>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</si>
  <si>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</si>
  <si>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</si>
  <si>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</si>
  <si>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</si>
  <si>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</si>
  <si>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</si>
  <si>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</si>
  <si>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</si>
  <si>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</si>
  <si>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</si>
  <si>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</si>
  <si>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</si>
  <si>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</si>
  <si>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</si>
  <si>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</si>
  <si>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</si>
  <si>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</si>
  <si>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</si>
  <si>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</si>
  <si>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</si>
  <si>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</si>
  <si>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</si>
  <si>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</si>
  <si>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</si>
  <si>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</si>
  <si>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</si>
  <si>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</si>
  <si>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</si>
  <si>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</si>
  <si>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</si>
  <si>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</si>
  <si>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</si>
  <si>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</si>
  <si>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</si>
  <si>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</si>
  <si>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</si>
  <si>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</si>
  <si>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</si>
  <si>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</si>
  <si>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</si>
  <si>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</si>
  <si>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</si>
  <si>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</si>
  <si>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</si>
  <si>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</si>
  <si>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</si>
  <si>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</si>
  <si>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</si>
  <si>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</si>
  <si>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</si>
  <si>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</si>
  <si>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</si>
  <si>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</si>
  <si>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</si>
  <si>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</si>
  <si>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</si>
  <si>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</si>
  <si>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</si>
  <si>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</si>
  <si>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</si>
  <si>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</si>
  <si>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</si>
  <si>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</si>
  <si>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</si>
  <si>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</si>
  <si>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</si>
  <si>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</si>
  <si>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</si>
  <si>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</si>
  <si>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</si>
  <si>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</si>
  <si>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</si>
  <si>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</si>
  <si>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</si>
  <si>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</si>
  <si>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</si>
  <si>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</si>
  <si>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</si>
  <si>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</si>
  <si>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</si>
  <si>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</si>
  <si>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</si>
  <si>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</si>
  <si>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</si>
  <si>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</si>
  <si>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</si>
  <si>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</si>
  <si>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</si>
  <si>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</si>
  <si>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</si>
  <si>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</si>
  <si>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</si>
  <si>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</si>
  <si>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</si>
  <si>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</si>
  <si>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</si>
  <si>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</si>
  <si>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</si>
  <si>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</si>
  <si>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</si>
  <si>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</si>
  <si>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</si>
  <si>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</si>
  <si>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</si>
  <si>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</si>
  <si>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</si>
  <si>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</si>
  <si>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</si>
  <si>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</si>
  <si>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</si>
  <si>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</si>
  <si>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</si>
  <si>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</si>
  <si>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</si>
  <si>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</si>
  <si>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</si>
  <si>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</si>
  <si>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</si>
  <si>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</si>
  <si>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</si>
  <si>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</si>
  <si>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</si>
  <si>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</si>
  <si>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</si>
  <si>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</si>
  <si>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</si>
  <si>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</si>
  <si>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</si>
  <si>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</si>
  <si>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</si>
  <si>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</si>
  <si>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</si>
  <si>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</si>
  <si>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</si>
  <si>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</si>
  <si>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</si>
  <si>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</si>
  <si>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</si>
  <si>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</si>
  <si>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</si>
  <si>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</si>
  <si>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</si>
  <si>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</si>
  <si>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</si>
  <si>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</si>
  <si>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</si>
  <si>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</si>
  <si>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</si>
  <si>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</si>
  <si>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</si>
  <si>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</si>
  <si>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</si>
  <si>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</si>
  <si>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</si>
  <si>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</si>
  <si>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</si>
  <si>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</si>
  <si>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</si>
  <si>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</si>
  <si>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</si>
  <si>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</si>
  <si>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</si>
  <si>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</si>
  <si>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</si>
  <si>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</si>
  <si>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</si>
  <si>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</si>
  <si>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</si>
  <si>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</si>
  <si>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</si>
  <si>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</si>
  <si>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</si>
  <si>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</si>
  <si>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</si>
  <si>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</si>
  <si>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</si>
  <si>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</si>
  <si>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</si>
  <si>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</si>
  <si>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</si>
  <si>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</si>
  <si>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</si>
  <si>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</si>
  <si>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</si>
  <si>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</si>
  <si>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</si>
  <si>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</si>
  <si>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</si>
  <si>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</si>
  <si>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</si>
  <si>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</si>
  <si>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</si>
  <si>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</si>
  <si>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</si>
  <si>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</si>
  <si>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</si>
  <si>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</si>
  <si>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</si>
  <si>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</si>
  <si>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</si>
  <si>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</si>
  <si>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</si>
  <si>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</si>
  <si>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</si>
  <si>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</si>
  <si>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</si>
  <si>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</si>
  <si>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</si>
  <si>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</si>
  <si>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</si>
  <si>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</si>
  <si>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</si>
  <si>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</si>
  <si>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</si>
  <si>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</si>
  <si>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</si>
  <si>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</si>
  <si>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</si>
  <si>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</si>
  <si>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</si>
  <si>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</si>
  <si>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</si>
  <si>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</si>
  <si>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</si>
  <si>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</si>
  <si>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</si>
  <si>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</si>
  <si>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</si>
  <si>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</si>
  <si>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</si>
  <si>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</si>
  <si>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</si>
  <si>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</si>
  <si>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</si>
  <si>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</si>
  <si>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</si>
  <si>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</si>
  <si>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</si>
  <si>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</si>
  <si>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</si>
  <si>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</si>
  <si>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</si>
  <si>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</si>
  <si>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</si>
  <si>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</si>
  <si>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</si>
  <si>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</si>
  <si>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</si>
  <si>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</si>
  <si>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</si>
  <si>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</si>
  <si>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</si>
  <si>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</si>
  <si>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</si>
  <si>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</si>
  <si>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</si>
  <si>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</si>
  <si>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</si>
  <si>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</si>
  <si>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</si>
  <si>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</si>
  <si>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</si>
  <si>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</si>
  <si>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</si>
  <si>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</si>
  <si>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</si>
  <si>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</si>
  <si>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</si>
  <si>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</si>
  <si>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</si>
  <si>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</si>
  <si>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</si>
  <si>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</si>
  <si>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</si>
  <si>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</si>
  <si>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</si>
  <si>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</si>
  <si>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</si>
  <si>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</si>
  <si>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</si>
  <si>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</si>
  <si>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</si>
  <si>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</si>
  <si>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</si>
  <si>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</si>
  <si>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</si>
  <si>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</si>
  <si>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</si>
  <si>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</si>
  <si>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</si>
  <si>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</si>
  <si>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</si>
  <si>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</si>
  <si>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</si>
  <si>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</si>
  <si>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</si>
  <si>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</si>
  <si>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</si>
  <si>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</si>
  <si>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</si>
  <si>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</si>
  <si>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</si>
  <si>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</si>
  <si>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</si>
  <si>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</si>
  <si>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</si>
  <si>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</si>
  <si>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</si>
  <si>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</si>
  <si>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</si>
  <si>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</si>
  <si>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</si>
  <si>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</si>
  <si>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</si>
  <si>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</si>
  <si>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</si>
  <si>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</si>
  <si>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</si>
  <si>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</si>
  <si>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</si>
  <si>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</si>
  <si>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</si>
  <si>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</si>
  <si>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</si>
  <si>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</si>
  <si>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</si>
  <si>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</si>
  <si>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</si>
  <si>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</si>
  <si>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</si>
  <si>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</si>
  <si>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</si>
  <si>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</si>
  <si>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</si>
  <si>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</si>
  <si>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</si>
  <si>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</si>
  <si>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</si>
  <si>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</si>
  <si>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</si>
  <si>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</si>
  <si>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</si>
  <si>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</si>
  <si>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</si>
  <si>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</si>
  <si>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</si>
  <si>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</si>
  <si>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</si>
  <si>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</si>
  <si>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</si>
  <si>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</si>
  <si>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</si>
  <si>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</si>
  <si>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</si>
  <si>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</si>
  <si>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</si>
  <si>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</si>
  <si>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</si>
  <si>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</si>
  <si>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</si>
  <si>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</si>
  <si>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</si>
  <si>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</si>
  <si>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</si>
  <si>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</si>
  <si>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</si>
  <si>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</si>
  <si>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</si>
  <si>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</si>
  <si>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</si>
  <si>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</si>
  <si>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</si>
  <si>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</si>
  <si>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</si>
  <si>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</si>
  <si>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</si>
  <si>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</si>
  <si>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</si>
  <si>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</si>
  <si>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</si>
  <si>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</si>
  <si>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</si>
  <si>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</si>
  <si>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</si>
  <si>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</si>
  <si>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</si>
  <si>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</si>
  <si>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</si>
  <si>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</si>
  <si>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</si>
  <si>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</si>
  <si>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</si>
  <si>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</si>
  <si>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</si>
  <si>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</si>
  <si>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</si>
  <si>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</si>
  <si>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</si>
  <si>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</si>
  <si>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</si>
  <si>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</si>
  <si>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</si>
  <si>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</si>
  <si>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</si>
  <si>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</si>
  <si>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</si>
  <si>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</si>
  <si>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</si>
  <si>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</si>
  <si>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</si>
  <si>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</si>
  <si>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</si>
  <si>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</si>
  <si>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</si>
  <si>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</si>
  <si>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</si>
  <si>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</si>
  <si>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</si>
  <si>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</si>
  <si>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</si>
  <si>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</si>
  <si>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</si>
  <si>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</si>
  <si>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</si>
  <si>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</si>
  <si>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</si>
  <si>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</si>
  <si>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</si>
  <si>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</si>
  <si>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</si>
  <si>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</si>
  <si>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</si>
  <si>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</si>
  <si>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</si>
  <si>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</si>
  <si>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</si>
  <si>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</si>
  <si>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</si>
  <si>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</si>
  <si>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</si>
  <si>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</si>
  <si>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</si>
  <si>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</si>
  <si>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</si>
  <si>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</si>
  <si>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</si>
  <si>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</si>
  <si>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</si>
  <si>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</si>
  <si>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</si>
  <si>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</si>
  <si>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</si>
  <si>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</si>
  <si>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</si>
  <si>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</si>
  <si>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</si>
  <si>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</si>
  <si>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</si>
  <si>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</si>
  <si>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</si>
  <si>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</si>
  <si>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</si>
  <si>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</si>
  <si>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</si>
  <si>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</si>
  <si>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</si>
  <si>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</si>
  <si>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</si>
  <si>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</si>
  <si>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</si>
  <si>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</si>
  <si>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</si>
  <si>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</si>
  <si>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</si>
  <si>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</si>
  <si>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</si>
  <si>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</si>
  <si>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</si>
  <si>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</si>
  <si>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</si>
  <si>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</si>
  <si>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</si>
  <si>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</si>
  <si>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</si>
  <si>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</si>
  <si>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</si>
  <si>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</si>
  <si>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</si>
  <si>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</si>
  <si>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</si>
  <si>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</si>
  <si>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</si>
  <si>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</si>
  <si>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</si>
  <si>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</si>
  <si>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</si>
  <si>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</si>
  <si>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</si>
  <si>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</si>
  <si>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</si>
  <si>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</si>
  <si>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</si>
  <si>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</si>
  <si>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</si>
  <si>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</si>
  <si>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</si>
  <si>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</si>
  <si>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</si>
  <si>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</si>
  <si>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</si>
  <si>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</si>
  <si>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</si>
  <si>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</si>
  <si>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</si>
  <si>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</si>
  <si>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</si>
  <si>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</si>
  <si>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</si>
  <si>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</si>
  <si>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</si>
  <si>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</si>
  <si>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</si>
  <si>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</si>
  <si>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</si>
  <si>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</si>
  <si>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</si>
  <si>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</si>
  <si>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</si>
  <si>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</si>
  <si>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</si>
  <si>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</si>
  <si>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</si>
  <si>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</si>
  <si>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</si>
  <si>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</si>
  <si>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</si>
  <si>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</si>
  <si>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</si>
  <si>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</si>
  <si>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</si>
  <si>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</si>
  <si>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</si>
  <si>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</si>
  <si>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</si>
  <si>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</si>
  <si>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</si>
  <si>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</si>
  <si>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</si>
  <si>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</si>
  <si>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</si>
  <si>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</si>
  <si>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</si>
  <si>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</si>
  <si>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</si>
  <si>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</si>
  <si>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</si>
  <si>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</si>
  <si>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</si>
  <si>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</si>
  <si>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</si>
  <si>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</si>
  <si>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</si>
  <si>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</si>
  <si>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</si>
  <si>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</si>
  <si>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</si>
  <si>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</si>
  <si>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</si>
  <si>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</si>
  <si>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</si>
  <si>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</si>
  <si>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</si>
  <si>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</si>
  <si>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</si>
  <si>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</si>
  <si>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</si>
  <si>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</si>
  <si>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</si>
  <si>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</si>
  <si>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</si>
  <si>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</si>
  <si>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</si>
  <si>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</si>
  <si>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</si>
  <si>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</si>
  <si>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</si>
  <si>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</si>
  <si>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</si>
  <si>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</si>
  <si>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</si>
  <si>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</si>
  <si>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</si>
  <si>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</si>
  <si>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</si>
  <si>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</si>
  <si>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</si>
  <si>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</si>
  <si>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</si>
  <si>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</si>
  <si>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</si>
  <si>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</si>
  <si>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</si>
  <si>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</si>
  <si>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</si>
  <si>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</si>
  <si>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</si>
  <si>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</si>
  <si>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</si>
  <si>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</si>
  <si>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</si>
  <si>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</si>
  <si>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</si>
  <si>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</si>
  <si>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</si>
  <si>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</si>
  <si>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</si>
  <si>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</si>
  <si>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</si>
  <si>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</si>
  <si>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</si>
  <si>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</si>
  <si>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</si>
  <si>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</si>
  <si>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</si>
  <si>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</si>
  <si>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</si>
  <si>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</si>
  <si>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</si>
  <si>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</si>
  <si>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</si>
  <si>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</si>
  <si>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</si>
  <si>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</si>
  <si>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</si>
  <si>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</si>
  <si>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</si>
  <si>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</si>
  <si>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</si>
  <si>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</si>
  <si>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</si>
  <si>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</si>
  <si>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</si>
  <si>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</si>
  <si>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</si>
  <si>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</si>
  <si>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</si>
  <si>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</si>
  <si>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</si>
  <si>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</si>
  <si>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</si>
  <si>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</si>
  <si>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</si>
  <si>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</si>
  <si>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</si>
  <si>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</si>
  <si>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</si>
  <si>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</si>
  <si>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</si>
  <si>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</si>
  <si>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</si>
  <si>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</si>
  <si>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</si>
  <si>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</si>
  <si>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</si>
  <si>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</si>
  <si>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</si>
  <si>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</si>
  <si>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</si>
  <si>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</si>
  <si>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</si>
  <si>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</si>
  <si>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</si>
  <si>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</si>
  <si>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</si>
  <si>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</si>
  <si>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</si>
  <si>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</si>
  <si>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</si>
  <si>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</si>
  <si>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</si>
  <si>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</si>
  <si>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</si>
  <si>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</si>
  <si>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</si>
  <si>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</si>
  <si>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</si>
  <si>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</si>
  <si>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</si>
  <si>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</si>
  <si>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</si>
  <si>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</si>
  <si>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</si>
  <si>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</si>
  <si>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</si>
  <si>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</si>
  <si>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</si>
  <si>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</si>
  <si>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</si>
  <si>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</si>
  <si>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</si>
  <si>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</si>
  <si>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</si>
  <si>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</si>
  <si>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</si>
  <si>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</si>
  <si>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</si>
  <si>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</si>
  <si>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</si>
  <si>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</si>
  <si>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</si>
  <si>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</si>
  <si>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</si>
  <si>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</si>
  <si>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</si>
  <si>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</si>
  <si>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</si>
  <si>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</si>
  <si>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</si>
  <si>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</si>
  <si>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</si>
  <si>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</si>
  <si>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</si>
  <si>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</si>
  <si>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</si>
  <si>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</si>
  <si>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</si>
  <si>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</si>
  <si>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</si>
  <si>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</si>
  <si>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</si>
  <si>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</si>
  <si>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</si>
  <si>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</si>
  <si>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</si>
  <si>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</si>
  <si>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</si>
  <si>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</si>
  <si>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</si>
  <si>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</si>
  <si>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</si>
  <si>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</si>
  <si>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</si>
  <si>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</si>
  <si>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</si>
  <si>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</si>
  <si>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</si>
  <si>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</si>
  <si>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</si>
  <si>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</si>
  <si>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</si>
  <si>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</si>
  <si>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</si>
  <si>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</si>
  <si>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</si>
  <si>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</si>
  <si>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</si>
  <si>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</si>
  <si>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</si>
  <si>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</si>
  <si>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</si>
  <si>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</si>
  <si>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</si>
  <si>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</si>
  <si>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</si>
  <si>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</si>
  <si>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</si>
  <si>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</si>
  <si>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</si>
  <si>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</si>
  <si>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</si>
  <si>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</si>
  <si>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</si>
  <si>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</si>
  <si>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</si>
  <si>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</si>
  <si>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</si>
  <si>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</si>
  <si>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</si>
  <si>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</si>
  <si>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</si>
  <si>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</si>
  <si>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</si>
  <si>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</si>
  <si>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</si>
  <si>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</si>
  <si>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</si>
  <si>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</si>
  <si>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</si>
  <si>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</si>
  <si>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</si>
  <si>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</si>
  <si>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</si>
  <si>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</si>
  <si>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</si>
  <si>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</si>
  <si>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</si>
  <si>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</si>
  <si>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</si>
  <si>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</si>
  <si>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</si>
  <si>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</si>
  <si>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</si>
  <si>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</si>
  <si>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</si>
  <si>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</si>
  <si>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</si>
  <si>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</si>
  <si>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</si>
  <si>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</si>
  <si>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</si>
  <si>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</si>
  <si>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</si>
  <si>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</si>
  <si>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</si>
  <si>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</si>
  <si>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</si>
  <si>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</si>
  <si>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</si>
  <si>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</si>
  <si>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</si>
  <si>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</si>
  <si>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</si>
  <si>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</si>
  <si>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</si>
  <si>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</si>
  <si>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</si>
  <si>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</si>
  <si>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</si>
  <si>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</si>
  <si>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</si>
  <si>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</si>
  <si>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</si>
  <si>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</si>
  <si>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</si>
  <si>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</si>
  <si>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</si>
  <si>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</si>
  <si>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</si>
  <si>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</si>
  <si>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</si>
  <si>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</si>
  <si>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</si>
  <si>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</si>
  <si>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</si>
  <si>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</si>
  <si>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</si>
  <si>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</si>
  <si>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</si>
  <si>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</si>
  <si>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</si>
  <si>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</si>
  <si>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</si>
  <si>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</si>
  <si>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</si>
  <si>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</si>
  <si>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</si>
  <si>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</si>
  <si>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</si>
  <si>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</si>
  <si>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</si>
  <si>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</si>
  <si>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</si>
  <si>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</si>
  <si>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</si>
  <si>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</si>
  <si>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</si>
  <si>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</si>
  <si>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</si>
  <si>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</si>
  <si>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</si>
  <si>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</si>
  <si>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</si>
  <si>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</si>
  <si>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</si>
  <si>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</si>
  <si>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</si>
  <si>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</si>
  <si>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</si>
  <si>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</si>
  <si>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</si>
  <si>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</si>
  <si>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</si>
  <si>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</si>
  <si>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</si>
  <si>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</si>
  <si>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</si>
  <si>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</si>
  <si>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</si>
  <si>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</si>
  <si>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</si>
  <si>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</si>
  <si>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</si>
  <si>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</si>
  <si>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</si>
  <si>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</si>
  <si>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</si>
  <si>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</si>
  <si>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</si>
  <si>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</si>
  <si>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</si>
  <si>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</si>
  <si>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</si>
  <si>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</si>
  <si>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</si>
  <si>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</si>
  <si>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</si>
  <si>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</si>
  <si>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</si>
  <si>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</si>
  <si>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</si>
  <si>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</si>
  <si>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</si>
  <si>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</si>
  <si>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</si>
  <si>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</si>
  <si>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</si>
  <si>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</si>
  <si>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</si>
  <si>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</si>
  <si>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</si>
  <si>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</si>
  <si>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</si>
  <si>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</si>
  <si>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</si>
  <si>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</si>
  <si>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</si>
  <si>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</si>
  <si>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</si>
  <si>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</si>
  <si>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</si>
  <si>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</si>
  <si>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</si>
  <si>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</si>
  <si>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</si>
  <si>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</si>
  <si>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</si>
  <si>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</si>
  <si>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</si>
  <si>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</si>
  <si>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</si>
  <si>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</si>
  <si>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</si>
  <si>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</si>
  <si>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</si>
  <si>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</si>
  <si>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</si>
  <si>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</si>
  <si>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</si>
  <si>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</si>
  <si>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</si>
  <si>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</si>
  <si>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</si>
  <si>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</si>
  <si>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</si>
  <si>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</si>
  <si>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</si>
  <si>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</si>
  <si>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</si>
  <si>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</si>
  <si>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</si>
  <si>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</si>
  <si>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</si>
  <si>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</si>
  <si>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</si>
  <si>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</si>
  <si>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</si>
  <si>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</si>
  <si>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</si>
  <si>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</si>
  <si>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</si>
  <si>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</si>
  <si>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</si>
  <si>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</si>
  <si>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</si>
  <si>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</si>
  <si>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</si>
  <si>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</si>
  <si>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</si>
  <si>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</si>
  <si>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</si>
  <si>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</si>
  <si>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</si>
  <si>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</si>
  <si>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</si>
  <si>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</si>
  <si>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</si>
  <si>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</si>
  <si>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</si>
  <si>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</si>
  <si>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</si>
  <si>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</si>
  <si>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</si>
  <si>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</si>
  <si>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</si>
  <si>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</si>
  <si>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</si>
  <si>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</si>
  <si>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</si>
  <si>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</si>
  <si>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</si>
  <si>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</si>
  <si>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</si>
  <si>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</si>
  <si>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</si>
  <si>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</si>
  <si>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</si>
  <si>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</si>
  <si>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</si>
  <si>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</si>
  <si>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</si>
  <si>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</si>
  <si>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</si>
  <si>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</si>
  <si>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</si>
  <si>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</si>
  <si>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</si>
  <si>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</si>
  <si>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</si>
  <si>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</si>
  <si>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</si>
  <si>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</si>
  <si>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</si>
  <si>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</si>
  <si>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</si>
  <si>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</si>
  <si>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</si>
  <si>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</si>
  <si>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</si>
  <si>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</si>
  <si>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</si>
  <si>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</si>
  <si>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</si>
  <si>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</si>
  <si>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</si>
  <si>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</si>
  <si>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</si>
  <si>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</si>
  <si>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</si>
  <si>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</si>
  <si>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</si>
  <si>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</si>
  <si>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</si>
  <si>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</si>
  <si>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</si>
  <si>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</si>
  <si>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</si>
  <si>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</si>
  <si>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</si>
  <si>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</si>
  <si>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</si>
  <si>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</si>
  <si>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</si>
  <si>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</si>
  <si>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</si>
  <si>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</si>
  <si>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</si>
  <si>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</si>
  <si>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</si>
  <si>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</si>
  <si>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</si>
  <si>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</si>
  <si>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</si>
  <si>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</si>
  <si>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</si>
  <si>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</si>
  <si>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</si>
  <si>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</si>
  <si>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</si>
  <si>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</si>
  <si>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</si>
  <si>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</si>
  <si>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</si>
  <si>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</si>
  <si>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</si>
  <si>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</si>
  <si>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</si>
  <si>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</si>
  <si>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</si>
  <si>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</si>
  <si>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</si>
  <si>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</si>
  <si>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</si>
  <si>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</si>
  <si>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</si>
  <si>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</si>
  <si>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</si>
  <si>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</si>
  <si>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</si>
  <si>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</si>
  <si>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</si>
  <si>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</si>
  <si>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</si>
  <si>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</si>
  <si>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</si>
  <si>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</si>
  <si>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</si>
  <si>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</si>
  <si>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</si>
  <si>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</si>
  <si>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</si>
  <si>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</si>
  <si>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</si>
  <si>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</si>
  <si>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</si>
  <si>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</si>
  <si>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</si>
  <si>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</si>
  <si>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</si>
  <si>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</si>
  <si>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</si>
  <si>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</si>
  <si>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</si>
  <si>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</si>
  <si>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</si>
  <si>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</si>
  <si>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</si>
  <si>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</si>
  <si>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</si>
  <si>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</si>
  <si>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</si>
  <si>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</si>
  <si>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</si>
  <si>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</si>
  <si>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</si>
  <si>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</si>
  <si>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</si>
  <si>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</si>
  <si>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</si>
  <si>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</si>
  <si>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</si>
  <si>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</si>
  <si>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</si>
  <si>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</si>
  <si>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</si>
  <si>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</si>
  <si>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</si>
  <si>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</si>
  <si>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</si>
  <si>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</si>
  <si>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</si>
  <si>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</si>
  <si>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</si>
  <si>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</si>
  <si>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</si>
  <si>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</si>
  <si>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</si>
  <si>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</si>
  <si>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</si>
  <si>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</si>
  <si>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</si>
  <si>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</si>
  <si>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</si>
  <si>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</si>
  <si>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</si>
  <si>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</si>
  <si>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</si>
  <si>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</si>
  <si>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</si>
  <si>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</si>
  <si>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</si>
  <si>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</si>
  <si>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</si>
  <si>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</si>
  <si>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</si>
  <si>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</si>
  <si>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</si>
  <si>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</si>
  <si>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</si>
  <si>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</si>
  <si>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</si>
  <si>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</si>
  <si>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</si>
  <si>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</si>
  <si>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</si>
  <si>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</si>
  <si>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</si>
  <si>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</si>
  <si>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</si>
  <si>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</si>
  <si>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</si>
  <si>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</si>
  <si>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</si>
  <si>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</si>
  <si>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</si>
  <si>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</si>
  <si>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</si>
  <si>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</si>
  <si>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</si>
  <si>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</si>
  <si>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</si>
  <si>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</si>
  <si>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</si>
  <si>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</si>
  <si>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</si>
  <si>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</si>
  <si>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</si>
  <si>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</si>
  <si>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</si>
  <si>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</si>
  <si>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</si>
  <si>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</si>
  <si>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</si>
  <si>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</si>
  <si>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</si>
  <si>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</si>
  <si>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</si>
  <si>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</si>
  <si>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</si>
  <si>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</si>
  <si>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</si>
  <si>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</si>
  <si>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</si>
  <si>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</si>
  <si>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</si>
  <si>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</si>
  <si>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</si>
  <si>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</si>
  <si>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</si>
  <si>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</si>
  <si>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</si>
  <si>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</si>
  <si>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</si>
  <si>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</si>
  <si>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</si>
  <si>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</si>
  <si>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</si>
  <si>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</si>
  <si>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</si>
  <si>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</si>
  <si>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</si>
  <si>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</si>
  <si>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</si>
  <si>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</si>
  <si>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</si>
  <si>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</si>
  <si>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</si>
  <si>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</si>
  <si>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</si>
  <si>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</si>
  <si>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</si>
  <si>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</si>
  <si>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</si>
  <si>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</si>
  <si>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</si>
  <si>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</si>
  <si>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</si>
  <si>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</si>
  <si>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</si>
  <si>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</si>
  <si>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</si>
  <si>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</si>
  <si>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</si>
  <si>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</si>
  <si>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</si>
  <si>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</si>
  <si>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</si>
  <si>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</si>
  <si>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</si>
  <si>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</si>
  <si>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</si>
  <si>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</si>
  <si>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</si>
  <si>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</si>
  <si>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</si>
  <si>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</si>
  <si>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</si>
  <si>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</si>
  <si>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</si>
  <si>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</si>
  <si>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</si>
  <si>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</si>
  <si>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</si>
  <si>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</si>
  <si>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</si>
  <si>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</si>
  <si>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</si>
  <si>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</si>
  <si>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</si>
  <si>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</si>
  <si>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</si>
  <si>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</si>
  <si>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</si>
  <si>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</si>
  <si>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</si>
  <si>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</si>
  <si>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</si>
  <si>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</si>
  <si>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</si>
  <si>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</si>
  <si>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</si>
  <si>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</si>
  <si>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</si>
  <si>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</si>
  <si>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</si>
  <si>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</si>
  <si>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</si>
  <si>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</si>
  <si>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</si>
  <si>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</si>
  <si>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</si>
  <si>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</si>
  <si>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</si>
  <si>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</si>
  <si>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</si>
  <si>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</si>
  <si>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</si>
  <si>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</si>
  <si>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</si>
  <si>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</si>
  <si>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</si>
  <si>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</si>
  <si>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</si>
  <si>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</si>
  <si>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</si>
  <si>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</si>
  <si>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</si>
  <si>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</si>
  <si>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</si>
  <si>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</si>
  <si>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</si>
  <si>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</si>
  <si>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</si>
  <si>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</si>
  <si>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</si>
  <si>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</si>
  <si>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</si>
  <si>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</si>
  <si>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</si>
  <si>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</si>
  <si>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</si>
  <si>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</si>
  <si>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</si>
  <si>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</si>
  <si>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</si>
  <si>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</si>
  <si>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</si>
  <si>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</si>
  <si>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</si>
  <si>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</si>
  <si>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</si>
  <si>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</si>
  <si>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</si>
  <si>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</si>
  <si>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</si>
  <si>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</si>
  <si>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</si>
  <si>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</si>
  <si>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</si>
  <si>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</si>
  <si>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</si>
  <si>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</si>
  <si>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</si>
  <si>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</si>
  <si>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</si>
  <si>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</si>
  <si>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</si>
  <si>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</si>
  <si>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</si>
  <si>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</si>
  <si>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</si>
  <si>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</si>
  <si>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</si>
  <si>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</si>
  <si>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</si>
  <si>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</si>
  <si>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</si>
  <si>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</si>
  <si>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</si>
  <si>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</si>
  <si>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</si>
  <si>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</si>
  <si>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</si>
  <si>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</si>
  <si>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</si>
  <si>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</si>
  <si>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</si>
  <si>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</si>
  <si>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</si>
  <si>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</si>
  <si>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</si>
  <si>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</si>
  <si>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</si>
  <si>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</si>
  <si>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</si>
  <si>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</si>
  <si>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</si>
  <si>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</si>
  <si>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</si>
  <si>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</si>
  <si>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</si>
  <si>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</si>
  <si>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</si>
  <si>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</si>
  <si>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</si>
  <si>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</si>
  <si>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</si>
  <si>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</si>
  <si>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</si>
  <si>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</si>
  <si>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</si>
  <si>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</si>
  <si>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</si>
  <si>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</si>
  <si>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</si>
  <si>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</si>
  <si>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</si>
  <si>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</si>
  <si>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</si>
  <si>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</si>
  <si>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</si>
  <si>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</si>
  <si>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</si>
  <si>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</si>
  <si>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</si>
  <si>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</si>
  <si>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</si>
  <si>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</si>
  <si>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</si>
  <si>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</si>
  <si>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</si>
  <si>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</si>
  <si>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</si>
  <si>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</si>
  <si>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</si>
  <si>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</si>
  <si>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</si>
  <si>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</si>
  <si>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</si>
  <si>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</si>
  <si>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</si>
  <si>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</si>
  <si>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</si>
  <si>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</si>
  <si>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</si>
  <si>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</si>
  <si>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</si>
  <si>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</si>
  <si>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</si>
  <si>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</si>
  <si>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</si>
  <si>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</si>
  <si>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</si>
  <si>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</si>
  <si>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</si>
  <si>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</si>
  <si>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</si>
  <si>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</si>
  <si>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</si>
  <si>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</si>
  <si>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</si>
  <si>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</si>
  <si>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</si>
  <si>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</si>
  <si>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</si>
  <si>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</si>
  <si>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</si>
  <si>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</si>
  <si>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</si>
  <si>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</si>
  <si>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</si>
  <si>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</si>
  <si>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</si>
  <si>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</si>
  <si>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</si>
  <si>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</si>
  <si>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</si>
  <si>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</si>
  <si>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</si>
  <si>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</si>
  <si>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</si>
  <si>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</si>
  <si>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</si>
  <si>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</si>
  <si>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</si>
  <si>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</si>
  <si>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</si>
  <si>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</si>
  <si>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</si>
  <si>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</si>
  <si>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</si>
  <si>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</si>
  <si>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</si>
  <si>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</si>
  <si>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</si>
  <si>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</si>
  <si>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</si>
  <si>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</si>
  <si>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</si>
  <si>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</si>
  <si>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</si>
  <si>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</si>
  <si>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</si>
  <si>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</si>
  <si>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</si>
  <si>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</si>
  <si>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</si>
  <si>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</si>
  <si>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</si>
  <si>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</si>
  <si>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</si>
  <si>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</si>
  <si>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</si>
  <si>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</si>
  <si>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</si>
  <si>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</si>
  <si>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</si>
  <si>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</si>
  <si>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</si>
  <si>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</si>
  <si>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</si>
  <si>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</si>
  <si>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</si>
  <si>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</si>
  <si>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</si>
  <si>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</si>
  <si>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</si>
  <si>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</si>
  <si>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</si>
  <si>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</si>
  <si>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</si>
  <si>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</si>
  <si>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</si>
  <si>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</si>
  <si>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</si>
  <si>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</si>
  <si>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</si>
  <si>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</si>
  <si>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</si>
  <si>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</si>
  <si>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</si>
  <si>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</si>
  <si>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</si>
  <si>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</si>
  <si>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</si>
  <si>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</si>
  <si>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</si>
  <si>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</si>
  <si>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</si>
  <si>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</si>
  <si>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</si>
  <si>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</si>
  <si>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</si>
  <si>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</si>
  <si>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</si>
  <si>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</si>
  <si>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</si>
  <si>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</si>
  <si>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</si>
  <si>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</si>
  <si>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</si>
  <si>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</si>
  <si>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</si>
  <si>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</si>
  <si>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</si>
  <si>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</si>
  <si>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</si>
  <si>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</si>
  <si>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</si>
  <si>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</si>
  <si>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</si>
  <si>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</si>
  <si>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</si>
  <si>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</si>
  <si>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</si>
  <si>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</si>
  <si>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</si>
  <si>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</si>
  <si>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</si>
  <si>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</si>
  <si>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</si>
  <si>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</si>
  <si>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</si>
  <si>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</si>
  <si>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</si>
  <si>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</si>
  <si>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</si>
  <si>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</si>
  <si>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</si>
  <si>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</si>
  <si>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</si>
  <si>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</si>
  <si>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</si>
  <si>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</si>
  <si>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</si>
  <si>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</si>
  <si>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</si>
  <si>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</si>
  <si>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</si>
  <si>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</si>
  <si>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</si>
  <si>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</si>
  <si>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</si>
  <si>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</si>
  <si>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</si>
  <si>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</si>
  <si>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</si>
  <si>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</si>
  <si>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</si>
  <si>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</si>
  <si>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</si>
  <si>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</si>
  <si>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</si>
  <si>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</si>
  <si>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</si>
  <si>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</si>
  <si>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</si>
  <si>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</si>
  <si>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</si>
  <si>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</si>
  <si>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</si>
  <si>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</si>
  <si>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</si>
  <si>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</si>
  <si>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</si>
  <si>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</si>
  <si>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</si>
  <si>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</si>
  <si>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</si>
  <si>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</si>
  <si>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</si>
  <si>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</si>
  <si>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</si>
  <si>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</si>
  <si>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</si>
  <si>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</si>
  <si>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</si>
  <si>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</si>
  <si>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</si>
  <si>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</si>
  <si>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</si>
  <si>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</si>
  <si>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</si>
  <si>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</si>
  <si>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</si>
  <si>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</si>
  <si>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</si>
  <si>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</si>
  <si>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</si>
  <si>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</si>
  <si>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</si>
  <si>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</si>
  <si>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</si>
  <si>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</si>
  <si>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</si>
  <si>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</si>
  <si>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</si>
  <si>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</si>
  <si>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</si>
  <si>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</si>
  <si>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</si>
  <si>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</si>
  <si>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</si>
  <si>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</si>
  <si>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</si>
  <si>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</si>
  <si>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</si>
  <si>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</si>
  <si>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</si>
  <si>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</si>
  <si>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</si>
  <si>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</si>
  <si>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</si>
  <si>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</si>
  <si>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</si>
  <si>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</si>
  <si>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</si>
  <si>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</si>
  <si>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</si>
  <si>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</si>
  <si>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</si>
  <si>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</si>
  <si>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</si>
  <si>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</si>
  <si>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</si>
  <si>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</si>
  <si>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</si>
  <si>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</si>
  <si>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</si>
  <si>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</si>
  <si>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</si>
  <si>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</si>
  <si>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</si>
  <si>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</si>
  <si>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</si>
  <si>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</si>
  <si>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</si>
  <si>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</si>
  <si>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</si>
  <si>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</si>
  <si>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</si>
  <si>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</si>
  <si>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</si>
  <si>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</si>
  <si>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</si>
  <si>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</si>
  <si>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</si>
  <si>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</si>
  <si>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</si>
  <si>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</si>
  <si>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</si>
  <si>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</si>
  <si>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</si>
  <si>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</si>
  <si>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</si>
  <si>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</si>
  <si>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</si>
  <si>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</si>
  <si>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</si>
  <si>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</si>
  <si>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</si>
  <si>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</si>
  <si>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</si>
  <si>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</si>
  <si>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</si>
  <si>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</si>
  <si>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</si>
  <si>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</si>
  <si>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</si>
  <si>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</si>
  <si>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</si>
  <si>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</si>
  <si>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</si>
  <si>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</si>
  <si>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</si>
  <si>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</si>
  <si>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</si>
  <si>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</si>
  <si>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</si>
  <si>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</si>
  <si>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</si>
  <si>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</si>
  <si>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</si>
  <si>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</si>
  <si>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</si>
  <si>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</si>
  <si>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</si>
  <si>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</si>
  <si>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</si>
  <si>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</si>
  <si>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</si>
  <si>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</si>
  <si>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</si>
  <si>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</si>
  <si>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</si>
  <si>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</si>
  <si>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</si>
  <si>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</si>
  <si>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</si>
  <si>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</si>
  <si>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</si>
  <si>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</si>
  <si>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</si>
  <si>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</si>
  <si>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</si>
  <si>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</si>
  <si>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</si>
  <si>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</si>
  <si>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</si>
  <si>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</si>
  <si>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</si>
  <si>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</si>
  <si>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</si>
  <si>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</si>
  <si>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</si>
  <si>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</si>
  <si>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</si>
  <si>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</si>
  <si>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</si>
  <si>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</si>
  <si>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</si>
  <si>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</si>
  <si>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</si>
  <si>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</si>
  <si>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</si>
  <si>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</si>
  <si>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</si>
  <si>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</si>
  <si>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</si>
  <si>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</si>
  <si>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</si>
  <si>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</si>
  <si>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</si>
  <si>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</si>
  <si>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</si>
  <si>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</si>
  <si>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</si>
  <si>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</si>
  <si>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</si>
  <si>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</si>
  <si>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</si>
  <si>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</si>
  <si>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</si>
  <si>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</si>
  <si>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</si>
  <si>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</si>
  <si>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</si>
  <si>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</si>
  <si>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</si>
  <si>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</si>
  <si>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</si>
  <si>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</si>
  <si>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</si>
  <si>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</si>
  <si>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</si>
  <si>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</si>
  <si>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</si>
  <si>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</si>
  <si>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</si>
  <si>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</si>
  <si>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</si>
  <si>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</si>
  <si>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</si>
  <si>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</si>
  <si>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</si>
  <si>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</si>
  <si>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</si>
  <si>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</si>
  <si>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</si>
  <si>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</si>
  <si>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</si>
  <si>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</si>
  <si>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</si>
  <si>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</si>
  <si>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</si>
  <si>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</si>
  <si>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</si>
  <si>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</si>
  <si>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</si>
  <si>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</si>
  <si>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</si>
  <si>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</si>
  <si>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</si>
  <si>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</si>
  <si>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</si>
  <si>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</si>
  <si>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</si>
  <si>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</si>
  <si>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</si>
  <si>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</si>
  <si>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</si>
  <si>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</si>
  <si>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</si>
  <si>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</si>
  <si>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</si>
  <si>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</si>
  <si>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</si>
  <si>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</si>
  <si>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</si>
  <si>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</si>
  <si>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</si>
  <si>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</si>
  <si>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</si>
  <si>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</si>
  <si>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</si>
  <si>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</si>
  <si>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</si>
  <si>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</si>
  <si>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</si>
  <si>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</si>
  <si>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</si>
  <si>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</si>
  <si>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</si>
  <si>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</si>
  <si>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</si>
  <si>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</si>
  <si>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</si>
  <si>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</si>
  <si>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</si>
  <si>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</si>
  <si>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</si>
  <si>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</si>
  <si>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</si>
  <si>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</si>
  <si>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</si>
  <si>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</si>
  <si>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</si>
  <si>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</si>
  <si>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</si>
  <si>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</si>
  <si>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</si>
  <si>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</si>
  <si>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</si>
  <si>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</si>
  <si>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</si>
  <si>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</si>
  <si>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</si>
  <si>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</si>
  <si>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</si>
  <si>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</si>
  <si>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</si>
  <si>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</si>
  <si>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</si>
  <si>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</si>
  <si>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</si>
  <si>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</si>
  <si>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</si>
  <si>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</si>
  <si>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</si>
  <si>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</si>
  <si>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</si>
  <si>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</si>
  <si>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</si>
  <si>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</si>
  <si>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</si>
  <si>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</si>
  <si>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</si>
  <si>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</si>
  <si>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</si>
  <si>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</si>
  <si>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</si>
  <si>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</si>
  <si>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</si>
  <si>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</si>
  <si>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</si>
  <si>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</si>
  <si>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</si>
  <si>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</si>
  <si>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</si>
  <si>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</si>
  <si>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</si>
  <si>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</si>
  <si>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</si>
  <si>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</si>
  <si>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</si>
  <si>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</si>
  <si>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</si>
  <si>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</si>
  <si>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</si>
  <si>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</si>
  <si>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</si>
  <si>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</si>
  <si>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</si>
  <si>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</si>
  <si>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</si>
  <si>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</si>
  <si>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</si>
  <si>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</si>
  <si>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</si>
  <si>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</si>
  <si>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</si>
  <si>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</si>
  <si>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</si>
  <si>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</si>
  <si>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</si>
  <si>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</si>
  <si>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</si>
  <si>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</si>
  <si>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</si>
  <si>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</si>
  <si>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</si>
  <si>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</si>
  <si>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</si>
  <si>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</si>
  <si>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</si>
  <si>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</si>
  <si>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</si>
  <si>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</si>
  <si>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</si>
  <si>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</si>
  <si>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</si>
  <si>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</si>
  <si>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</si>
  <si>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</si>
  <si>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</si>
  <si>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</si>
  <si>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</si>
  <si>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</si>
  <si>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</si>
  <si>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</si>
  <si>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</si>
  <si>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</si>
  <si>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</si>
  <si>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</si>
  <si>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</si>
  <si>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</si>
  <si>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</si>
  <si>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</si>
  <si>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</si>
  <si>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</si>
  <si>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</si>
  <si>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</si>
  <si>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</si>
  <si>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</si>
  <si>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</si>
  <si>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</si>
  <si>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</si>
  <si>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</si>
  <si>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</si>
  <si>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</si>
  <si>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</si>
  <si>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</si>
  <si>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</si>
  <si>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</si>
  <si>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</si>
  <si>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</si>
  <si>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</si>
  <si>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</si>
  <si>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</si>
  <si>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</si>
  <si>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</si>
  <si>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</si>
  <si>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</si>
  <si>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</si>
  <si>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</si>
  <si>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</si>
  <si>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</si>
  <si>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</si>
  <si>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</si>
  <si>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</si>
  <si>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</si>
  <si>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</si>
  <si>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</si>
  <si>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</si>
  <si>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</si>
  <si>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</si>
  <si>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</si>
  <si>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</si>
  <si>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</si>
  <si>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</si>
  <si>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</si>
  <si>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</si>
  <si>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</si>
  <si>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</si>
  <si>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</si>
  <si>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</si>
  <si>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</si>
  <si>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</si>
  <si>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</si>
  <si>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</si>
  <si>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</si>
  <si>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</si>
  <si>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</si>
  <si>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</si>
  <si>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</si>
  <si>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</si>
  <si>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</si>
  <si>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</si>
  <si>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</si>
  <si>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</si>
  <si>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</si>
  <si>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</si>
  <si>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</si>
  <si>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</si>
  <si>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</si>
  <si>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</si>
  <si>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</si>
  <si>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</si>
  <si>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</si>
  <si>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</si>
  <si>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</si>
  <si>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</si>
  <si>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</si>
  <si>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</si>
  <si>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</si>
  <si>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</si>
  <si>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</si>
  <si>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</si>
  <si>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</si>
  <si>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</si>
  <si>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</si>
  <si>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</si>
  <si>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</si>
  <si>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</si>
  <si>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</si>
  <si>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</si>
  <si>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</si>
  <si>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</si>
  <si>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</si>
  <si>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</si>
  <si>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</si>
  <si>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</si>
  <si>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</si>
  <si>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</si>
  <si>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</si>
  <si>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</si>
  <si>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</si>
  <si>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</si>
  <si>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</si>
  <si>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</si>
  <si>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</si>
  <si>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</si>
  <si>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</si>
  <si>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</si>
  <si>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</si>
  <si>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</si>
  <si>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</si>
  <si>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</si>
  <si>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</si>
  <si>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</si>
  <si>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</si>
  <si>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</si>
  <si>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</si>
  <si>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</si>
  <si>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</si>
  <si>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</si>
  <si>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</si>
  <si>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</si>
  <si>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</si>
  <si>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</si>
  <si>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</si>
  <si>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</si>
  <si>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</si>
  <si>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</si>
  <si>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</si>
  <si>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</si>
  <si>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</si>
  <si>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</si>
  <si>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</si>
  <si>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</si>
  <si>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</si>
  <si>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</si>
  <si>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</si>
  <si>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</si>
  <si>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</si>
  <si>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</si>
  <si>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</si>
  <si>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</si>
  <si>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</si>
  <si>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</si>
  <si>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</si>
  <si>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</si>
  <si>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</si>
  <si>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</si>
  <si>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</si>
  <si>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</si>
  <si>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</si>
  <si>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</si>
  <si>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</si>
  <si>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</si>
  <si>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</si>
  <si>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</si>
  <si>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</si>
  <si>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</si>
  <si>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</si>
  <si>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</si>
  <si>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</si>
  <si>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</si>
  <si>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</si>
  <si>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</si>
  <si>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</si>
  <si>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</si>
  <si>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</si>
  <si>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</si>
  <si>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</si>
  <si>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</si>
  <si>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</si>
  <si>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</si>
  <si>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</si>
  <si>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</si>
  <si>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</si>
  <si>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</si>
  <si>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</si>
  <si>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</si>
  <si>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</si>
  <si>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</si>
  <si>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</si>
  <si>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</si>
  <si>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</si>
  <si>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</si>
  <si>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</si>
  <si>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</si>
  <si>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</si>
  <si>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</si>
  <si>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</si>
  <si>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</si>
  <si>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</si>
  <si>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</si>
  <si>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</si>
  <si>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</si>
  <si>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</si>
  <si>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</si>
  <si>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</si>
  <si>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</si>
  <si>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</si>
  <si>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</si>
  <si>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</si>
  <si>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</si>
  <si>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</si>
  <si>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</si>
  <si>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</si>
  <si>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</si>
  <si>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</si>
  <si>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</si>
  <si>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</si>
  <si>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</si>
  <si>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</si>
  <si>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</si>
  <si>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</si>
  <si>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</si>
  <si>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</si>
  <si>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</si>
  <si>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</si>
  <si>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</si>
  <si>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</si>
  <si>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</si>
  <si>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</si>
  <si>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</si>
  <si>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</si>
  <si>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</si>
  <si>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</si>
  <si>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</si>
  <si>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</si>
  <si>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</si>
  <si>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</si>
  <si>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</si>
  <si>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</si>
  <si>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</si>
  <si>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</si>
  <si>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</si>
  <si>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</si>
  <si>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</si>
  <si>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</si>
  <si>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</si>
  <si>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</si>
  <si>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</si>
  <si>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</si>
  <si>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</si>
  <si>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</si>
  <si>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</si>
  <si>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</si>
  <si>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</si>
  <si>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</si>
  <si>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</si>
  <si>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</si>
  <si>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</si>
  <si>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</si>
  <si>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</si>
  <si>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</si>
  <si>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</si>
  <si>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</si>
  <si>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</si>
  <si>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</si>
  <si>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</si>
  <si>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</si>
  <si>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</si>
  <si>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</si>
  <si>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</si>
  <si>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</si>
  <si>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</si>
  <si>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</si>
  <si>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</si>
  <si>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</si>
  <si>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</si>
  <si>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</si>
  <si>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</si>
  <si>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</si>
  <si>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</si>
  <si>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</si>
  <si>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</si>
  <si>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</si>
  <si>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</si>
  <si>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</si>
  <si>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</si>
  <si>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</si>
  <si>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</si>
  <si>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</si>
  <si>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</si>
  <si>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</si>
  <si>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</si>
  <si>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</si>
  <si>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</si>
  <si>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</si>
  <si>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</si>
  <si>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</si>
  <si>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</si>
  <si>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</si>
  <si>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</si>
  <si>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</si>
  <si>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</si>
  <si>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</si>
  <si>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</si>
  <si>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</si>
  <si>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</si>
  <si>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</si>
  <si>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</si>
  <si>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</si>
  <si>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</si>
  <si>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</si>
  <si>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</si>
  <si>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</si>
  <si>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</si>
  <si>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</si>
  <si>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</si>
  <si>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</si>
  <si>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</si>
  <si>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</si>
  <si>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</si>
  <si>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</si>
  <si>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</si>
  <si>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</si>
  <si>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</si>
  <si>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</si>
  <si>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</si>
  <si>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</si>
  <si>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</si>
  <si>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</si>
  <si>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</si>
  <si>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</si>
  <si>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</si>
  <si>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</si>
  <si>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</si>
  <si>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</si>
  <si>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</si>
  <si>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</si>
  <si>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</si>
  <si>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</si>
  <si>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</si>
  <si>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</si>
  <si>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</si>
  <si>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</si>
  <si>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</si>
  <si>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</si>
  <si>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</si>
  <si>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</si>
  <si>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</si>
  <si>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</si>
  <si>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</si>
  <si>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</si>
  <si>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</si>
  <si>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</si>
  <si>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</si>
  <si>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</si>
  <si>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</si>
  <si>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</si>
  <si>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</si>
  <si>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</si>
  <si>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</si>
  <si>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</si>
  <si>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</si>
  <si>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</si>
  <si>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</si>
  <si>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</si>
  <si>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</si>
  <si>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</si>
  <si>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</si>
  <si>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</si>
  <si>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</si>
  <si>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</si>
  <si>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</si>
  <si>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</si>
  <si>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</si>
  <si>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</si>
  <si>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</si>
  <si>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</si>
  <si>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</si>
  <si>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</si>
  <si>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</si>
  <si>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</si>
  <si>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</si>
  <si>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</si>
  <si>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</si>
  <si>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</si>
  <si>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</si>
  <si>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</si>
  <si>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</si>
  <si>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</si>
  <si>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</si>
  <si>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</si>
  <si>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</si>
  <si>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</si>
  <si>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</si>
  <si>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</si>
  <si>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</si>
  <si>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</si>
  <si>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</si>
  <si>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</si>
  <si>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</si>
  <si>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</si>
  <si>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</si>
  <si>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</si>
  <si>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</si>
  <si>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</si>
  <si>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</si>
  <si>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</si>
  <si>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</si>
  <si>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</si>
  <si>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</si>
  <si>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</si>
  <si>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</si>
  <si>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</si>
  <si>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</si>
  <si>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</si>
  <si>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</si>
  <si>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</si>
  <si>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</si>
  <si>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</si>
  <si>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</si>
  <si>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</si>
  <si>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</si>
  <si>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</si>
  <si>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</si>
  <si>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</si>
  <si>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</si>
  <si>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</si>
  <si>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</si>
  <si>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</si>
  <si>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</si>
  <si>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</si>
  <si>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</si>
  <si>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</si>
  <si>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</si>
  <si>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</si>
  <si>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</si>
  <si>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</si>
  <si>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</si>
  <si>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</si>
  <si>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</si>
  <si>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</si>
  <si>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</si>
  <si>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</si>
  <si>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</si>
  <si>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</si>
  <si>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</si>
  <si>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</si>
  <si>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</si>
  <si>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</si>
  <si>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</si>
  <si>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</si>
  <si>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</si>
  <si>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</si>
  <si>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</si>
  <si>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</si>
  <si>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</si>
  <si>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</si>
  <si>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</si>
  <si>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</si>
  <si>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</si>
  <si>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</si>
  <si>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</si>
  <si>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</si>
  <si>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</si>
  <si>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</si>
  <si>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</si>
  <si>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</si>
  <si>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</si>
  <si>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</si>
  <si>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</si>
  <si>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</si>
  <si>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</si>
  <si>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</si>
  <si>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</si>
  <si>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</si>
  <si>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</si>
  <si>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</si>
  <si>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</si>
  <si>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</si>
  <si>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</si>
  <si>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</si>
  <si>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</si>
  <si>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</si>
  <si>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</si>
  <si>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</si>
  <si>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</si>
  <si>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</si>
  <si>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</si>
  <si>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</si>
  <si>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</si>
  <si>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</si>
  <si>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</si>
  <si>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</si>
  <si>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</si>
  <si>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</si>
  <si>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</si>
  <si>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</si>
  <si>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</si>
  <si>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</si>
  <si>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</si>
  <si>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</si>
  <si>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</si>
  <si>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</si>
  <si>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</si>
  <si>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</si>
  <si>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</si>
  <si>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</si>
  <si>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</si>
  <si>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</si>
  <si>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</si>
  <si>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</si>
  <si>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</si>
  <si>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</si>
  <si>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</si>
  <si>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</si>
  <si>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</si>
  <si>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</si>
  <si>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</si>
  <si>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</si>
  <si>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</si>
  <si>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</si>
  <si>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</si>
  <si>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</si>
  <si>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</si>
  <si>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</si>
  <si>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</si>
  <si>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</si>
  <si>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</si>
  <si>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</si>
  <si>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</si>
  <si>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</si>
  <si>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</si>
  <si>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</si>
  <si>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</si>
  <si>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</si>
  <si>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</si>
  <si>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</si>
  <si>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</si>
  <si>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</si>
  <si>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</si>
  <si>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</si>
  <si>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</si>
  <si>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</si>
  <si>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</si>
  <si>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</si>
  <si>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</si>
  <si>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</si>
  <si>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</si>
  <si>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</si>
  <si>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</si>
  <si>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</si>
  <si>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</si>
  <si>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</si>
  <si>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</si>
  <si>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</si>
  <si>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</si>
  <si>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</si>
  <si>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</si>
  <si>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</si>
  <si>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</si>
  <si>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</si>
  <si>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</si>
  <si>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</si>
  <si>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</si>
  <si>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</si>
  <si>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</si>
  <si>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</si>
  <si>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</si>
  <si>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</si>
  <si>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</si>
  <si>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</si>
  <si>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</si>
  <si>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</si>
  <si>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</si>
  <si>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</si>
  <si>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</si>
  <si>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</si>
  <si>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</si>
  <si>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</si>
  <si>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</si>
  <si>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</si>
  <si>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</si>
  <si>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</si>
  <si>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</si>
  <si>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</si>
  <si>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</si>
  <si>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</si>
  <si>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</si>
  <si>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</si>
  <si>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</si>
  <si>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</si>
  <si>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</si>
  <si>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</si>
  <si>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</si>
  <si>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</si>
  <si>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</si>
  <si>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</si>
  <si>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</si>
  <si>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</si>
  <si>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</si>
  <si>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</si>
  <si>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</si>
  <si>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</si>
  <si>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</si>
  <si>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</si>
  <si>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</si>
  <si>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</si>
  <si>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</si>
  <si>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</si>
  <si>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</si>
  <si>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</si>
  <si>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</si>
  <si>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</si>
  <si>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</si>
  <si>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</si>
  <si>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</si>
  <si>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</si>
  <si>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</si>
  <si>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</si>
  <si>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</si>
  <si>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</si>
  <si>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</si>
  <si>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</si>
  <si>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</si>
  <si>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</si>
  <si>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</si>
  <si>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</si>
  <si>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</si>
  <si>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</si>
  <si>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</si>
  <si>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</si>
  <si>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</si>
  <si>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</si>
  <si>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</si>
  <si>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</si>
  <si>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</si>
  <si>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</si>
  <si>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</si>
  <si>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</si>
  <si>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</si>
  <si>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</si>
  <si>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</si>
  <si>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</si>
  <si>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</si>
  <si>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</si>
  <si>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</si>
  <si>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</si>
  <si>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</si>
  <si>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</si>
  <si>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</si>
  <si>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</si>
  <si>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</si>
  <si>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</si>
  <si>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</si>
  <si>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</si>
  <si>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</si>
  <si>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</si>
  <si>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</si>
  <si>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</si>
  <si>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</si>
  <si>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</si>
  <si>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</si>
  <si>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</si>
  <si>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</si>
  <si>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</si>
  <si>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</si>
  <si>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</si>
  <si>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</si>
  <si>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</si>
  <si>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</si>
  <si>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</si>
  <si>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</si>
  <si>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</si>
  <si>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</si>
  <si>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</si>
  <si>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</si>
  <si>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</si>
  <si>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</si>
  <si>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</si>
  <si>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</si>
  <si>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</si>
  <si>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</si>
  <si>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</si>
  <si>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</si>
  <si>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</si>
  <si>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</si>
  <si>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</si>
  <si>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</si>
  <si>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</si>
  <si>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</si>
  <si>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</si>
  <si>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</si>
  <si>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</si>
  <si>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</si>
  <si>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</si>
  <si>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</si>
  <si>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</si>
  <si>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</si>
  <si>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</si>
  <si>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</si>
  <si>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</si>
  <si>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</si>
  <si>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</si>
  <si>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</si>
  <si>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</si>
  <si>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</si>
  <si>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</si>
  <si>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</si>
  <si>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</si>
  <si>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</si>
  <si>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</si>
  <si>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</si>
  <si>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</si>
  <si>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</si>
  <si>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</si>
  <si>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</si>
  <si>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</si>
  <si>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</si>
  <si>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</si>
  <si>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</si>
  <si>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</si>
  <si>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</si>
  <si>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</si>
  <si>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</si>
  <si>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</si>
  <si>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</si>
  <si>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</si>
  <si>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</si>
  <si>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</si>
  <si>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</si>
  <si>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</si>
  <si>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</si>
  <si>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</si>
  <si>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</si>
  <si>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</si>
  <si>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</si>
  <si>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</si>
  <si>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</si>
  <si>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</si>
  <si>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</si>
  <si>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</si>
  <si>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</si>
  <si>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</si>
  <si>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</si>
  <si>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</si>
  <si>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</si>
  <si>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</si>
  <si>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</si>
  <si>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</si>
  <si>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</si>
  <si>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</si>
  <si>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</si>
  <si>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</si>
  <si>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</si>
  <si>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</si>
  <si>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</si>
  <si>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</si>
  <si>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</si>
  <si>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</si>
  <si>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</si>
  <si>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</si>
  <si>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</si>
  <si>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</si>
  <si>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</si>
  <si>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</si>
  <si>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</si>
  <si>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</si>
  <si>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</si>
  <si>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</si>
  <si>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</si>
  <si>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</si>
  <si>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</si>
  <si>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</si>
  <si>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</si>
  <si>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</si>
  <si>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</si>
  <si>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</si>
  <si>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</si>
  <si>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</si>
  <si>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</si>
  <si>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</si>
  <si>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</si>
  <si>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</si>
  <si>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</si>
  <si>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</si>
  <si>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</si>
  <si>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</si>
  <si>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</si>
  <si>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</si>
  <si>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</si>
  <si>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</si>
  <si>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</si>
  <si>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</si>
  <si>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</si>
  <si>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</si>
  <si>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</si>
  <si>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</si>
  <si>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</si>
  <si>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</si>
  <si>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</si>
  <si>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</si>
  <si>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</si>
  <si>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</si>
  <si>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</si>
  <si>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</si>
  <si>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</si>
  <si>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</si>
  <si>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</si>
  <si>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</si>
  <si>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</si>
  <si>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</si>
  <si>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</si>
  <si>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</si>
  <si>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</si>
  <si>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</si>
  <si>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</si>
  <si>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</si>
  <si>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</si>
  <si>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</si>
  <si>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</si>
  <si>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</si>
  <si>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</si>
  <si>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</si>
  <si>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</si>
  <si>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</si>
  <si>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</si>
  <si>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</si>
  <si>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</si>
  <si>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</si>
  <si>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</si>
  <si>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</si>
  <si>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</si>
  <si>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</si>
  <si>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</si>
  <si>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</si>
  <si>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</si>
  <si>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</si>
  <si>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</si>
  <si>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</si>
  <si>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</si>
  <si>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</si>
  <si>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</si>
  <si>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</si>
  <si>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</si>
  <si>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</si>
  <si>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</si>
  <si>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</si>
  <si>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</si>
  <si>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</si>
  <si>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</si>
  <si>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</si>
  <si>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</si>
  <si>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</si>
  <si>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</si>
  <si>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</si>
  <si>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</si>
  <si>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</si>
  <si>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</si>
  <si>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</si>
  <si>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</si>
  <si>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</si>
  <si>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</si>
  <si>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</si>
  <si>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</si>
  <si>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</si>
  <si>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</si>
  <si>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</si>
  <si>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</si>
  <si>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</si>
  <si>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</si>
  <si>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</si>
  <si>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</si>
  <si>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</si>
  <si>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</si>
  <si>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</si>
  <si>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</si>
  <si>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</si>
  <si>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</si>
  <si>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</si>
  <si>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</si>
  <si>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</si>
  <si>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</si>
  <si>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</si>
  <si>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</si>
  <si>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</si>
  <si>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</si>
  <si>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</si>
  <si>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</si>
  <si>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</si>
  <si>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</si>
  <si>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</si>
  <si>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</si>
  <si>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</si>
  <si>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</si>
  <si>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</si>
  <si>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</si>
  <si>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</si>
  <si>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</si>
  <si>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</si>
  <si>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</si>
  <si>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</si>
  <si>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</si>
  <si>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</si>
  <si>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</si>
  <si>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</si>
  <si>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</si>
  <si>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</si>
  <si>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</si>
  <si>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</si>
  <si>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</si>
  <si>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</si>
  <si>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</si>
  <si>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</si>
  <si>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</si>
  <si>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</si>
  <si>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</si>
  <si>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</si>
  <si>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</si>
  <si>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</si>
  <si>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</si>
  <si>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</si>
  <si>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</si>
  <si>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</si>
  <si>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</si>
  <si>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</si>
  <si>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</si>
  <si>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</si>
  <si>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</si>
  <si>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</si>
  <si>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</si>
  <si>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</si>
  <si>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</si>
  <si>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</si>
  <si>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</si>
  <si>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</si>
  <si>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</si>
  <si>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</si>
  <si>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</si>
  <si>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</si>
  <si>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</si>
  <si>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</si>
  <si>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</si>
  <si>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</si>
  <si>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</si>
  <si>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</si>
  <si>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</si>
  <si>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</si>
  <si>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</si>
  <si>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</si>
  <si>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</si>
  <si>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</si>
  <si>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</si>
  <si>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</si>
  <si>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</si>
  <si>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</si>
  <si>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</si>
  <si>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</si>
  <si>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</si>
  <si>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</si>
  <si>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</si>
  <si>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</si>
  <si>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</si>
  <si>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</si>
  <si>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</si>
  <si>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</si>
  <si>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</si>
  <si>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</si>
  <si>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</si>
  <si>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</si>
  <si>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</si>
  <si>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</si>
  <si>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</si>
  <si>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</si>
  <si>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</si>
  <si>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</si>
  <si>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</si>
  <si>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</si>
  <si>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</si>
  <si>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</si>
  <si>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</si>
  <si>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</si>
  <si>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</si>
  <si>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</si>
  <si>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</si>
  <si>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</si>
  <si>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</si>
  <si>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</si>
  <si>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</si>
  <si>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</si>
  <si>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</si>
  <si>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</si>
  <si>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</si>
  <si>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</si>
  <si>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</si>
  <si>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</si>
  <si>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</si>
  <si>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</si>
  <si>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</si>
  <si>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</si>
  <si>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</si>
  <si>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</si>
  <si>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</si>
  <si>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</si>
  <si>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</si>
  <si>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</si>
  <si>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</si>
  <si>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</si>
  <si>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</si>
  <si>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</si>
  <si>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</si>
  <si>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</si>
  <si>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</si>
  <si>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</si>
  <si>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</si>
  <si>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</si>
  <si>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</si>
  <si>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</si>
  <si>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</si>
  <si>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</si>
  <si>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</si>
  <si>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</si>
  <si>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</si>
  <si>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</si>
  <si>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</si>
  <si>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</si>
  <si>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</si>
  <si>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</si>
  <si>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</si>
  <si>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</si>
  <si>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</si>
  <si>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</si>
  <si>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</si>
  <si>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</si>
  <si>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</si>
  <si>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</si>
  <si>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</si>
  <si>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</si>
  <si>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</si>
  <si>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</si>
  <si>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</si>
  <si>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</si>
  <si>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</si>
  <si>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</si>
  <si>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</si>
  <si>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</si>
  <si>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</si>
  <si>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</si>
  <si>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</si>
  <si>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</si>
  <si>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</si>
  <si>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</si>
  <si>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</si>
  <si>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</si>
  <si>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</si>
  <si>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</si>
  <si>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</si>
  <si>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</si>
  <si>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</si>
  <si>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</si>
  <si>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</si>
  <si>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</si>
  <si>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</si>
  <si>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</si>
  <si>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</si>
  <si>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</si>
  <si>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</si>
  <si>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</si>
  <si>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</si>
  <si>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</si>
  <si>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</si>
  <si>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</si>
  <si>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</si>
  <si>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</si>
  <si>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</si>
  <si>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</si>
  <si>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</si>
  <si>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</si>
  <si>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</si>
  <si>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</si>
  <si>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</si>
  <si>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</si>
  <si>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</si>
  <si>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</si>
  <si>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</si>
  <si>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</si>
  <si>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</si>
  <si>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</si>
  <si>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</si>
  <si>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</si>
  <si>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</si>
  <si>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</si>
  <si>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</si>
  <si>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</si>
  <si>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</si>
  <si>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</si>
  <si>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</si>
  <si>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</si>
  <si>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</si>
  <si>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</si>
  <si>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</si>
  <si>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</si>
  <si>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</si>
  <si>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</si>
  <si>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</si>
  <si>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</si>
  <si>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</si>
  <si>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</si>
  <si>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</si>
  <si>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</si>
  <si>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</si>
  <si>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</si>
  <si>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</si>
  <si>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</si>
  <si>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</si>
  <si>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</si>
  <si>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</si>
  <si>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</si>
  <si>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</si>
  <si>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</si>
  <si>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</si>
  <si>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</si>
  <si>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</si>
  <si>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</si>
  <si>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</si>
  <si>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</si>
  <si>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</si>
  <si>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</si>
  <si>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</si>
  <si>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</si>
  <si>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</si>
  <si>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</si>
  <si>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</si>
  <si>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</si>
  <si>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</si>
  <si>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</si>
  <si>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</si>
  <si>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</si>
  <si>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</si>
  <si>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</si>
  <si>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</si>
  <si>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</si>
  <si>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</si>
  <si>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</si>
  <si>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</si>
  <si>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</si>
  <si>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</si>
  <si>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</si>
  <si>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</si>
  <si>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</si>
  <si>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</si>
  <si>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</si>
  <si>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</si>
  <si>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</si>
  <si>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</si>
  <si>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</si>
  <si>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</si>
  <si>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</si>
  <si>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</si>
  <si>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</si>
  <si>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</si>
  <si>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</si>
  <si>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</si>
  <si>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</si>
  <si>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</si>
  <si>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</si>
  <si>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</si>
  <si>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</si>
  <si>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</si>
  <si>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</si>
  <si>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</si>
  <si>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</si>
  <si>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</si>
  <si>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</si>
  <si>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</si>
  <si>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</si>
  <si>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</si>
  <si>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</si>
  <si>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</si>
  <si>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</si>
  <si>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</si>
  <si>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</si>
  <si>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</si>
  <si>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</si>
  <si>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</si>
  <si>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</si>
  <si>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</si>
  <si>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</si>
  <si>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</si>
  <si>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</si>
  <si>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</si>
  <si>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</si>
  <si>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</si>
  <si>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</si>
  <si>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</si>
  <si>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</si>
  <si>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</si>
  <si>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</si>
  <si>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</si>
  <si>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</si>
  <si>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</si>
  <si>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</si>
  <si>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</si>
  <si>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</si>
  <si>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</si>
  <si>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</si>
  <si>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</si>
  <si>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</si>
  <si>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</si>
  <si>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</si>
  <si>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</si>
  <si>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</si>
  <si>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</si>
  <si>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</si>
  <si>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</si>
  <si>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</si>
  <si>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</si>
  <si>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</si>
  <si>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</si>
  <si>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</si>
  <si>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</si>
  <si>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</si>
  <si>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</si>
  <si>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</si>
  <si>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</si>
  <si>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</si>
  <si>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</si>
  <si>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</si>
  <si>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</si>
  <si>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</si>
  <si>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</si>
  <si>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</si>
  <si>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</si>
  <si>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</si>
  <si>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</si>
  <si>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</si>
  <si>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</si>
  <si>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</si>
  <si>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</si>
  <si>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</si>
  <si>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</si>
  <si>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</si>
  <si>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</si>
  <si>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</si>
  <si>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</si>
  <si>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</si>
  <si>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</si>
  <si>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</si>
  <si>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</si>
  <si>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</si>
  <si>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</si>
  <si>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</si>
  <si>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</si>
  <si>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</si>
  <si>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</si>
  <si>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</si>
  <si>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</si>
  <si>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</si>
  <si>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</si>
  <si>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</si>
  <si>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</si>
  <si>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</si>
  <si>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</si>
  <si>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</si>
  <si>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</si>
  <si>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</si>
  <si>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</si>
  <si>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</si>
  <si>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</si>
  <si>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</si>
  <si>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</si>
  <si>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</si>
  <si>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</si>
  <si>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</si>
  <si>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</si>
  <si>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</si>
  <si>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</si>
  <si>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</si>
  <si>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</si>
  <si>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</si>
  <si>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</si>
  <si>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</si>
  <si>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</si>
  <si>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</si>
  <si>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</si>
  <si>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</si>
  <si>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</si>
  <si>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</si>
  <si>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</si>
  <si>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</si>
  <si>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</si>
  <si>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</si>
  <si>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</si>
  <si>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</si>
  <si>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</si>
  <si>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</si>
  <si>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</si>
  <si>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</si>
  <si>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</si>
  <si>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</si>
  <si>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</si>
  <si>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</si>
  <si>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</si>
  <si>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</si>
  <si>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</si>
  <si>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</si>
  <si>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</si>
  <si>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</si>
  <si>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</si>
  <si>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</si>
  <si>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</si>
  <si>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</si>
  <si>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</si>
  <si>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</si>
  <si>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</si>
  <si>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</si>
  <si>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</si>
  <si>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</si>
  <si>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</si>
  <si>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</si>
  <si>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</si>
  <si>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</si>
  <si>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</si>
  <si>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</si>
  <si>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</si>
  <si>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</si>
  <si>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</si>
  <si>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</si>
  <si>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</si>
  <si>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</si>
  <si>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</si>
  <si>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</si>
  <si>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</si>
  <si>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</si>
  <si>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</si>
  <si>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</si>
  <si>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</si>
  <si>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</si>
  <si>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</si>
  <si>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</si>
  <si>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</si>
  <si>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</si>
  <si>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</si>
  <si>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</si>
  <si>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</si>
  <si>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</si>
  <si>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</si>
  <si>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</si>
  <si>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</si>
  <si>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</si>
  <si>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</si>
  <si>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</si>
  <si>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</si>
  <si>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</si>
  <si>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</si>
  <si>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</si>
  <si>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</si>
  <si>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</si>
  <si>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</si>
  <si>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</si>
  <si>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</si>
  <si>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</si>
  <si>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</si>
  <si>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</si>
  <si>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</si>
  <si>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</si>
  <si>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</si>
  <si>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</si>
  <si>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</si>
  <si>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</si>
  <si>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</si>
  <si>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</si>
  <si>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</si>
  <si>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</si>
  <si>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</si>
  <si>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</si>
  <si>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</si>
  <si>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</si>
  <si>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</si>
  <si>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</si>
  <si>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</si>
  <si>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</si>
  <si>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</si>
  <si>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</si>
  <si>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</si>
  <si>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</si>
  <si>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</si>
  <si>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</si>
  <si>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</si>
  <si>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</si>
  <si>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</si>
  <si>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</si>
  <si>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</si>
  <si>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</si>
  <si>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</si>
  <si>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</si>
  <si>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</si>
  <si>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</si>
  <si>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</si>
  <si>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</si>
  <si>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</si>
  <si>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</si>
  <si>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</si>
  <si>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</si>
  <si>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</si>
  <si>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</si>
  <si>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</si>
  <si>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</si>
  <si>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</si>
  <si>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</si>
  <si>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</si>
  <si>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</si>
  <si>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</si>
  <si>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</si>
  <si>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</si>
  <si>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</si>
  <si>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</si>
  <si>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</si>
  <si>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</si>
  <si>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</si>
  <si>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</si>
  <si>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</si>
  <si>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</si>
  <si>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</si>
  <si>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</si>
  <si>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</si>
  <si>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</si>
  <si>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</si>
  <si>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</si>
  <si>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</si>
  <si>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</si>
  <si>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</si>
  <si>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</si>
  <si>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</si>
  <si>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</si>
  <si>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</si>
  <si>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</si>
  <si>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</si>
  <si>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</si>
  <si>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</si>
  <si>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</si>
  <si>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</si>
  <si>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</si>
  <si>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</si>
  <si>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</si>
  <si>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</si>
  <si>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</si>
  <si>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</si>
  <si>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</si>
  <si>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</si>
  <si>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</si>
  <si>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</si>
  <si>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</si>
  <si>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</si>
  <si>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</si>
  <si>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</si>
  <si>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</si>
  <si>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</si>
  <si>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</si>
  <si>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</si>
  <si>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</si>
  <si>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</si>
  <si>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</si>
  <si>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</si>
  <si>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</si>
  <si>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</si>
  <si>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</si>
  <si>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</si>
  <si>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</si>
  <si>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</si>
  <si>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</si>
  <si>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</si>
  <si>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</si>
  <si>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</si>
  <si>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</si>
  <si>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</si>
  <si>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</si>
  <si>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</si>
  <si>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</si>
  <si>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</si>
  <si>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</si>
  <si>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</si>
  <si>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</si>
  <si>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</si>
  <si>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</si>
  <si>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</si>
  <si>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</si>
  <si>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</si>
  <si>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</si>
  <si>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</si>
  <si>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</si>
  <si>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</si>
  <si>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</si>
  <si>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</si>
  <si>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</si>
  <si>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</si>
  <si>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</si>
  <si>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</si>
  <si>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</si>
  <si>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</si>
  <si>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</si>
  <si>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</si>
  <si>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</si>
  <si>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</si>
  <si>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</si>
  <si>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</si>
  <si>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</si>
  <si>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</si>
  <si>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</si>
  <si>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</si>
  <si>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</si>
  <si>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</si>
  <si>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</si>
  <si>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</si>
  <si>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</si>
  <si>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</si>
  <si>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</si>
  <si>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</si>
  <si>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</si>
  <si>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</si>
  <si>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</si>
  <si>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</si>
  <si>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</si>
  <si>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</si>
  <si>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</si>
  <si>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</si>
  <si>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</si>
  <si>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</si>
  <si>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</si>
  <si>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</si>
  <si>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</si>
  <si>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</si>
  <si>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</si>
  <si>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</si>
  <si>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</si>
  <si>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</si>
  <si>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</si>
  <si>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</si>
  <si>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</si>
  <si>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</si>
  <si>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</si>
  <si>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</si>
  <si>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</si>
  <si>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</si>
  <si>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</si>
  <si>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</si>
  <si>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</si>
  <si>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</si>
  <si>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</si>
  <si>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</si>
  <si>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</si>
  <si>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</si>
  <si>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</si>
  <si>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</si>
  <si>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</si>
  <si>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</si>
  <si>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</si>
  <si>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</si>
  <si>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</si>
  <si>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</si>
  <si>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</si>
  <si>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</si>
  <si>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</si>
  <si>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</si>
  <si>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</si>
  <si>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</si>
  <si>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</si>
  <si>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</si>
  <si>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</si>
  <si>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</si>
  <si>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</si>
  <si>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</si>
  <si>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</si>
  <si>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</si>
  <si>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</si>
  <si>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</si>
  <si>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</si>
  <si>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</si>
  <si>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</si>
  <si>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</si>
  <si>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</si>
  <si>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</si>
  <si>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</si>
  <si>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</si>
  <si>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</si>
  <si>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</si>
  <si>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</si>
  <si>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</si>
  <si>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</si>
  <si>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</si>
  <si>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</si>
  <si>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</si>
  <si>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</si>
  <si>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</si>
  <si>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</si>
  <si>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</si>
  <si>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</si>
  <si>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</si>
  <si>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</si>
  <si>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</si>
  <si>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</si>
  <si>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</si>
  <si>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</si>
  <si>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</si>
  <si>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</si>
  <si>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</si>
  <si>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</si>
  <si>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</si>
  <si>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</si>
  <si>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</si>
  <si>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</si>
  <si>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</si>
  <si>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</si>
  <si>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</si>
  <si>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</si>
  <si>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</si>
  <si>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</si>
  <si>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</si>
  <si>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</si>
  <si>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</si>
  <si>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</si>
  <si>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</si>
  <si>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</si>
  <si>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</si>
  <si>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</si>
  <si>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</si>
  <si>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</si>
  <si>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</si>
  <si>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</si>
  <si>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</si>
  <si>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</si>
  <si>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</si>
  <si>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</si>
  <si>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</si>
  <si>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</si>
  <si>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</si>
  <si>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</si>
  <si>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</si>
  <si>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</si>
  <si>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</si>
  <si>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</si>
  <si>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</si>
  <si>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</si>
  <si>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</si>
  <si>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</si>
  <si>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</si>
  <si>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</si>
  <si>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</si>
  <si>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</si>
  <si>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</si>
  <si>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</si>
  <si>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</si>
  <si>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</si>
  <si>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</si>
  <si>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</si>
  <si>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</si>
  <si>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</si>
  <si>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</si>
  <si>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</si>
  <si>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</si>
  <si>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</si>
  <si>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</si>
  <si>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</si>
  <si>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</si>
  <si>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</si>
  <si>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</si>
  <si>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</si>
  <si>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</si>
  <si>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</si>
  <si>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</si>
  <si>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</si>
  <si>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</si>
  <si>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</si>
  <si>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</si>
  <si>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</si>
  <si>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</si>
  <si>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</si>
  <si>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</si>
  <si>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</si>
  <si>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</si>
  <si>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</si>
  <si>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</si>
  <si>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</si>
  <si>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</si>
  <si>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</si>
  <si>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</si>
  <si>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</si>
  <si>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</si>
  <si>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</si>
  <si>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</si>
  <si>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</si>
  <si>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</si>
  <si>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</si>
  <si>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</si>
  <si>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</si>
  <si>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</si>
  <si>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</si>
  <si>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</si>
  <si>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</si>
  <si>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</si>
  <si>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</si>
  <si>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</si>
  <si>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</si>
  <si>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</si>
  <si>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</si>
  <si>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</si>
  <si>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</si>
  <si>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</si>
  <si>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</si>
  <si>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</si>
  <si>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</si>
  <si>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</si>
  <si>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</si>
  <si>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</si>
  <si>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</si>
  <si>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</si>
  <si>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</si>
  <si>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</si>
  <si>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</si>
  <si>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</si>
  <si>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</si>
  <si>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</si>
  <si>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</si>
  <si>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</si>
  <si>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</si>
  <si>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</si>
  <si>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</si>
  <si>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</si>
  <si>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</si>
  <si>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</si>
  <si>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</si>
  <si>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</si>
  <si>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</si>
  <si>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</si>
  <si>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</si>
  <si>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</si>
  <si>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</si>
  <si>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</si>
  <si>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</si>
  <si>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</si>
  <si>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</si>
  <si>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</si>
  <si>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</si>
  <si>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</si>
  <si>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</si>
  <si>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</si>
  <si>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</si>
  <si>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</si>
  <si>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</si>
  <si>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</si>
  <si>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</si>
  <si>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</si>
  <si>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</si>
  <si>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</si>
  <si>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</si>
  <si>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</si>
  <si>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</si>
  <si>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</si>
  <si>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</si>
  <si>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</si>
  <si>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</si>
  <si>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</si>
  <si>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</si>
  <si>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</si>
  <si>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</si>
  <si>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</si>
  <si>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</si>
  <si>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</si>
  <si>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</si>
  <si>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</si>
  <si>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</si>
  <si>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</si>
  <si>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</si>
  <si>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</si>
  <si>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</si>
  <si>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</si>
  <si>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</si>
  <si>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</si>
  <si>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</si>
  <si>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</si>
  <si>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</si>
  <si>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</si>
  <si>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</si>
  <si>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</si>
  <si>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</si>
  <si>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</si>
  <si>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</si>
  <si>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</si>
  <si>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</si>
  <si>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</si>
  <si>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</si>
  <si>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</si>
  <si>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</si>
  <si>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</si>
  <si>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</si>
  <si>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</si>
  <si>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</si>
  <si>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</si>
  <si>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</si>
  <si>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</si>
  <si>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</si>
  <si>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</si>
  <si>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</si>
  <si>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</si>
  <si>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</si>
  <si>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</si>
  <si>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</si>
  <si>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</si>
  <si>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</si>
  <si>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</si>
  <si>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</si>
  <si>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</si>
  <si>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</si>
  <si>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</si>
  <si>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</si>
  <si>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</si>
  <si>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</si>
  <si>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</si>
  <si>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</si>
  <si>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</si>
  <si>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</si>
  <si>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</si>
  <si>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</si>
  <si>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</si>
  <si>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</si>
  <si>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</si>
  <si>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</si>
  <si>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</si>
  <si>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</si>
  <si>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</si>
  <si>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</si>
  <si>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</si>
  <si>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</si>
  <si>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</si>
  <si>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</si>
  <si>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</si>
  <si>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</si>
  <si>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</si>
  <si>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</si>
  <si>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</si>
  <si>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</si>
  <si>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</si>
  <si>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</si>
  <si>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</si>
  <si>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</si>
  <si>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</si>
  <si>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</si>
  <si>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</si>
  <si>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</si>
  <si>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</si>
  <si>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</si>
  <si>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</si>
  <si>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</si>
  <si>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</si>
  <si>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</si>
  <si>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</si>
  <si>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</si>
  <si>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</si>
  <si>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</si>
  <si>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</si>
  <si>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</si>
  <si>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</si>
  <si>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</si>
  <si>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</si>
  <si>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</si>
  <si>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</si>
  <si>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</si>
  <si>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</si>
  <si>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</si>
  <si>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</si>
  <si>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</si>
  <si>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</si>
  <si>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</si>
  <si>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</si>
  <si>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</si>
  <si>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</si>
  <si>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</si>
  <si>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</si>
  <si>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</si>
  <si>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</si>
  <si>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</si>
  <si>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</si>
  <si>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</si>
  <si>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</si>
  <si>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</si>
  <si>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</si>
  <si>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</si>
  <si>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</si>
  <si>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</si>
  <si>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</si>
  <si>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</si>
  <si>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</si>
  <si>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</si>
  <si>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</si>
  <si>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</si>
  <si>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</si>
  <si>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</si>
  <si>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</si>
  <si>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</si>
  <si>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</si>
  <si>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</si>
  <si>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</si>
  <si>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</si>
  <si>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</si>
  <si>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</si>
  <si>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</si>
  <si>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</si>
  <si>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</si>
  <si>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</si>
  <si>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</si>
  <si>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</si>
  <si>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</si>
  <si>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</si>
  <si>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</si>
  <si>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</si>
  <si>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</si>
  <si>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</si>
  <si>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</si>
  <si>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</si>
  <si>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</si>
  <si>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</si>
  <si>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</si>
  <si>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</si>
  <si>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</si>
  <si>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</si>
  <si>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</si>
  <si>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</si>
  <si>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</si>
  <si>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</si>
  <si>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</si>
  <si>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</si>
  <si>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</si>
  <si>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</si>
  <si>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</si>
  <si>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</si>
  <si>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</si>
  <si>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</si>
  <si>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</si>
  <si>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</si>
  <si>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</si>
  <si>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</si>
  <si>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</si>
  <si>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</si>
  <si>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</si>
  <si>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</si>
  <si>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</si>
  <si>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</si>
  <si>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</si>
  <si>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</si>
  <si>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</si>
  <si>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</si>
  <si>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</si>
  <si>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</si>
  <si>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</si>
  <si>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</si>
  <si>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</si>
  <si>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</si>
  <si>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</si>
  <si>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</si>
  <si>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</si>
  <si>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</si>
  <si>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</si>
  <si>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</si>
  <si>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</si>
  <si>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</si>
  <si>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</si>
  <si>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</si>
  <si>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</si>
  <si>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</si>
  <si>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</si>
  <si>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</si>
  <si>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</si>
  <si>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</si>
  <si>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</si>
  <si>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</si>
  <si>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</si>
  <si>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</si>
  <si>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</si>
  <si>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</si>
  <si>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</si>
  <si>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</si>
  <si>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</si>
  <si>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</si>
  <si>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</si>
  <si>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</si>
  <si>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</si>
  <si>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</si>
  <si>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</si>
  <si>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</si>
  <si>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</si>
  <si>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</si>
  <si>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</si>
  <si>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</si>
  <si>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</si>
  <si>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</si>
  <si>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</si>
  <si>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</si>
  <si>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</si>
  <si>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</si>
  <si>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</si>
  <si>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</si>
  <si>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</si>
  <si>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</si>
  <si>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</si>
  <si>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</si>
  <si>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</si>
  <si>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</si>
  <si>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</si>
  <si>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</si>
  <si>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</si>
  <si>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</si>
  <si>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</si>
  <si>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</si>
  <si>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</si>
  <si>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</si>
  <si>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</si>
  <si>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</si>
  <si>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</si>
  <si>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</si>
  <si>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</si>
  <si>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</si>
  <si>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</si>
  <si>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</si>
  <si>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</si>
  <si>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</si>
  <si>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</si>
  <si>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</si>
  <si>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</si>
  <si>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</si>
  <si>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</si>
  <si>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</si>
  <si>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</si>
  <si>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</si>
  <si>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</si>
  <si>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</si>
  <si>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</si>
  <si>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</si>
  <si>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</si>
  <si>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</si>
  <si>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</si>
  <si>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</si>
  <si>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</si>
  <si>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</si>
  <si>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</si>
  <si>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</si>
  <si>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</si>
  <si>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</si>
  <si>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</si>
  <si>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</si>
  <si>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</si>
  <si>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</si>
  <si>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</si>
  <si>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</si>
  <si>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</si>
  <si>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</si>
  <si>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</si>
  <si>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</si>
  <si>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</si>
  <si>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</si>
  <si>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</si>
  <si>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</si>
  <si>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</si>
  <si>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</si>
  <si>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</si>
  <si>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</si>
  <si>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</si>
  <si>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</si>
  <si>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</si>
  <si>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</si>
  <si>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</si>
  <si>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</si>
  <si>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</si>
  <si>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</si>
  <si>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</si>
  <si>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</si>
  <si>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</si>
  <si>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</si>
  <si>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</si>
  <si>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</si>
  <si>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</si>
  <si>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</si>
  <si>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</si>
  <si>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</si>
  <si>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</si>
  <si>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</si>
  <si>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</si>
  <si>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</si>
  <si>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</si>
  <si>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</si>
  <si>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</si>
  <si>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</si>
  <si>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</si>
  <si>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</si>
  <si>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</si>
  <si>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</si>
  <si>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</si>
  <si>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</si>
  <si>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</si>
  <si>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</si>
  <si>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</si>
  <si>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</si>
  <si>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</si>
  <si>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</si>
  <si>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</si>
  <si>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</si>
  <si>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</si>
  <si>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</si>
  <si>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</si>
  <si>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</si>
  <si>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</si>
  <si>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</si>
  <si>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</si>
  <si>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</si>
  <si>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</si>
  <si>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</si>
  <si>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</si>
  <si>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</si>
  <si>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</si>
  <si>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</si>
  <si>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</si>
  <si>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</si>
  <si>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</si>
  <si>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</si>
  <si>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</si>
  <si>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</si>
  <si>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</si>
  <si>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</si>
  <si>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</si>
  <si>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</si>
  <si>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</si>
  <si>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</si>
  <si>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</si>
  <si>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</si>
  <si>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</si>
  <si>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</si>
  <si>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</si>
  <si>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</si>
  <si>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</si>
  <si>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</si>
  <si>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</si>
  <si>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</si>
  <si>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</si>
  <si>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</si>
  <si>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</si>
  <si>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</si>
  <si>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</si>
  <si>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</si>
  <si>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</si>
  <si>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</si>
  <si>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</si>
  <si>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</si>
  <si>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</si>
  <si>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</si>
  <si>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</si>
  <si>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</si>
  <si>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</si>
  <si>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</si>
  <si>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</si>
  <si>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</si>
  <si>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</si>
  <si>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</si>
  <si>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</si>
  <si>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</si>
  <si>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</si>
  <si>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</si>
  <si>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</si>
  <si>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</si>
  <si>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</si>
  <si>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</si>
  <si>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</si>
  <si>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</si>
  <si>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</si>
  <si>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</si>
  <si>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</si>
  <si>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</si>
  <si>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</si>
  <si>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</si>
  <si>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</si>
  <si>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</si>
  <si>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</si>
  <si>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</si>
  <si>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</si>
  <si>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</si>
  <si>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</si>
  <si>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</si>
  <si>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</si>
  <si>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</si>
  <si>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</si>
  <si>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</si>
  <si>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</si>
  <si>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</si>
  <si>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</si>
  <si>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</si>
  <si>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</si>
  <si>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</si>
  <si>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</si>
  <si>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</si>
  <si>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</si>
  <si>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</si>
  <si>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</si>
  <si>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</si>
  <si>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</si>
  <si>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</si>
  <si>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</si>
  <si>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</si>
  <si>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</si>
  <si>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</si>
  <si>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</si>
  <si>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</si>
  <si>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</si>
  <si>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</si>
  <si>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</si>
  <si>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</si>
  <si>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</si>
  <si>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</si>
  <si>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</si>
  <si>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</si>
  <si>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</si>
  <si>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</si>
  <si>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</si>
  <si>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</si>
  <si>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</si>
  <si>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</si>
  <si>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</si>
  <si>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</si>
  <si>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</si>
  <si>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</si>
  <si>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</si>
  <si>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</si>
  <si>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</si>
  <si>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</si>
  <si>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</si>
  <si>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</si>
  <si>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</si>
  <si>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</si>
  <si>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</si>
  <si>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</si>
  <si>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</si>
  <si>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</si>
  <si>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</si>
  <si>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</si>
  <si>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</si>
  <si>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</si>
  <si>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</si>
  <si>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</si>
  <si>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</si>
  <si>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</si>
  <si>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</si>
  <si>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</si>
  <si>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</si>
  <si>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</si>
  <si>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</si>
  <si>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</si>
  <si>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</si>
  <si>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</si>
  <si>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</si>
  <si>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</si>
  <si>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</si>
  <si>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</si>
  <si>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</si>
  <si>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</si>
  <si>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</si>
  <si>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</si>
  <si>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</si>
  <si>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</si>
  <si>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</si>
  <si>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</si>
  <si>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</si>
  <si>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</si>
  <si>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</si>
  <si>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</si>
  <si>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</si>
  <si>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</si>
  <si>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</si>
  <si>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</si>
  <si>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</si>
  <si>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</si>
  <si>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</si>
  <si>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</si>
  <si>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</si>
  <si>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</si>
  <si>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</si>
  <si>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</si>
  <si>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</si>
  <si>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</si>
  <si>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</si>
  <si>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</si>
  <si>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</si>
  <si>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</si>
  <si>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</si>
  <si>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</si>
  <si>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</si>
  <si>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</si>
  <si>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</si>
  <si>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</si>
  <si>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</si>
  <si>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</si>
  <si>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</si>
  <si>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</si>
  <si>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</si>
  <si>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</si>
  <si>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</si>
  <si>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</si>
  <si>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</si>
  <si>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</si>
  <si>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</si>
  <si>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</si>
  <si>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</si>
  <si>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</si>
  <si>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</si>
  <si>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</si>
  <si>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</si>
  <si>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</si>
  <si>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</si>
  <si>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</si>
  <si>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</si>
  <si>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</si>
  <si>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</si>
  <si>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</si>
  <si>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</si>
  <si>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</si>
  <si>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</si>
  <si>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</si>
  <si>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</si>
  <si>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</si>
  <si>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</si>
  <si>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</si>
  <si>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</si>
  <si>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</si>
  <si>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</si>
  <si>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</si>
  <si>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</si>
  <si>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</si>
  <si>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</si>
  <si>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</si>
  <si>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</si>
  <si>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</si>
  <si>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</si>
  <si>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</si>
  <si>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</si>
  <si>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</si>
  <si>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</si>
  <si>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</si>
  <si>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</si>
  <si>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</si>
  <si>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</si>
  <si>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</si>
  <si>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</si>
  <si>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</si>
  <si>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</si>
  <si>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</si>
  <si>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</si>
  <si>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</si>
  <si>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</si>
  <si>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</si>
  <si>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</si>
  <si>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</si>
  <si>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</si>
  <si>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</si>
  <si>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</si>
  <si>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</si>
  <si>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</si>
  <si>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</si>
  <si>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</si>
  <si>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</si>
  <si>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</si>
  <si>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</si>
  <si>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</si>
  <si>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</si>
  <si>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</si>
  <si>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</si>
  <si>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</si>
  <si>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</si>
  <si>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</si>
  <si>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</si>
  <si>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</si>
  <si>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</si>
  <si>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</si>
  <si>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</si>
  <si>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</si>
  <si>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</si>
  <si>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</si>
  <si>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</si>
  <si>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</si>
  <si>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</si>
  <si>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</si>
  <si>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</si>
  <si>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</si>
  <si>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</si>
  <si>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</si>
  <si>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</si>
  <si>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</si>
  <si>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</si>
  <si>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</si>
  <si>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</si>
  <si>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</si>
  <si>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</si>
  <si>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</si>
  <si>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</si>
  <si>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</si>
  <si>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</si>
  <si>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</si>
  <si>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</si>
  <si>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</si>
  <si>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</si>
  <si>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</si>
  <si>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</si>
  <si>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</si>
  <si>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</si>
  <si>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</si>
  <si>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</si>
  <si>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</si>
  <si>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</si>
  <si>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</si>
  <si>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</si>
  <si>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</si>
  <si>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</si>
  <si>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</si>
  <si>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</si>
  <si>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</si>
  <si>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</si>
  <si>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</si>
  <si>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</si>
  <si>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</si>
  <si>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</si>
  <si>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</si>
  <si>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</si>
  <si>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</si>
  <si>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</si>
  <si>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</si>
  <si>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</si>
  <si>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</si>
  <si>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</si>
  <si>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</si>
  <si>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</si>
  <si>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</si>
  <si>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</si>
  <si>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</si>
  <si>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</si>
  <si>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</si>
  <si>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</si>
  <si>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</si>
  <si>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</si>
  <si>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</si>
  <si>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</si>
  <si>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</si>
  <si>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</si>
  <si>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</si>
  <si>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</si>
  <si>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</si>
  <si>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</si>
  <si>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</si>
  <si>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</si>
  <si>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</si>
  <si>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</si>
  <si>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</si>
  <si>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</si>
  <si>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</si>
  <si>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</si>
  <si>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</si>
  <si>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</si>
  <si>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</si>
  <si>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</si>
  <si>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</si>
  <si>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</si>
  <si>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</si>
  <si>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</si>
  <si>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</si>
  <si>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</si>
  <si>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</si>
  <si>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</si>
  <si>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</si>
  <si>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</si>
  <si>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</si>
  <si>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</si>
  <si>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</si>
  <si>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</si>
  <si>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</si>
  <si>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</si>
  <si>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</si>
  <si>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</si>
  <si>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</si>
  <si>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</si>
  <si>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</si>
  <si>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</si>
  <si>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</si>
  <si>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</si>
  <si>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</si>
  <si>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</si>
  <si>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</si>
  <si>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</si>
  <si>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</si>
  <si>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</si>
  <si>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</si>
  <si>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</si>
  <si>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</si>
  <si>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</si>
  <si>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</si>
  <si>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</si>
  <si>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</si>
  <si>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</si>
  <si>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</si>
  <si>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</si>
  <si>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</si>
  <si>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</si>
  <si>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</si>
  <si>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</si>
  <si>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</si>
  <si>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</si>
  <si>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</si>
  <si>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</si>
  <si>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</si>
  <si>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</si>
  <si>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</si>
  <si>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</si>
  <si>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</si>
  <si>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</si>
  <si>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</si>
  <si>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</si>
  <si>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</si>
  <si>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</si>
  <si>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</si>
  <si>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</si>
  <si>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</si>
  <si>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</si>
  <si>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</si>
  <si>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</si>
  <si>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</si>
  <si>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</si>
  <si>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</si>
  <si>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</si>
  <si>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</si>
  <si>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</si>
  <si>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</si>
  <si>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</si>
  <si>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</si>
  <si>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</si>
  <si>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</si>
  <si>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</si>
  <si>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</si>
  <si>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</si>
  <si>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</si>
  <si>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</si>
  <si>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</si>
  <si>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</si>
  <si>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</si>
  <si>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</si>
  <si>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</si>
  <si>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</si>
  <si>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</si>
  <si>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</si>
  <si>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</si>
  <si>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</si>
  <si>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</si>
  <si>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</si>
  <si>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</si>
  <si>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</si>
  <si>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</si>
  <si>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</si>
  <si>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</si>
  <si>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</si>
  <si>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</si>
  <si>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</si>
  <si>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</si>
  <si>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</si>
  <si>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</si>
  <si>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</si>
  <si>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</si>
  <si>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</si>
  <si>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</si>
  <si>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</si>
  <si>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</si>
  <si>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</si>
  <si>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</si>
  <si>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</si>
  <si>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</si>
  <si>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</si>
  <si>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</si>
  <si>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</si>
  <si>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</si>
  <si>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</si>
  <si>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</si>
  <si>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</si>
  <si>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</si>
  <si>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</si>
  <si>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</si>
  <si>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</si>
  <si>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</si>
  <si>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</si>
  <si>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</si>
  <si>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</si>
  <si>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</si>
  <si>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</si>
  <si>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</si>
  <si>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</si>
  <si>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</si>
  <si>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</si>
  <si>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</si>
  <si>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</si>
  <si>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</si>
  <si>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</si>
  <si>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</si>
  <si>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</si>
  <si>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</si>
  <si>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</si>
  <si>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</si>
  <si>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</si>
  <si>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</si>
  <si>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</si>
  <si>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</si>
  <si>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</si>
  <si>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</si>
  <si>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</si>
  <si>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</si>
  <si>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</si>
  <si>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</si>
  <si>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</si>
  <si>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</si>
  <si>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</si>
  <si>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</si>
  <si>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</si>
  <si>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</si>
  <si>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</si>
  <si>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</si>
  <si>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</si>
  <si>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</si>
  <si>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</si>
  <si>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</si>
  <si>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</si>
  <si>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</si>
  <si>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</si>
  <si>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</si>
  <si>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</si>
  <si>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</si>
  <si>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</si>
  <si>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</si>
  <si>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</si>
  <si>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</si>
  <si>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</si>
  <si>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</si>
  <si>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</si>
  <si>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</si>
  <si>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</si>
  <si>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</si>
  <si>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</si>
  <si>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</si>
  <si>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</si>
  <si>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</si>
  <si>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</si>
  <si>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</si>
  <si>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</si>
  <si>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</si>
  <si>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</si>
  <si>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</si>
  <si>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</si>
  <si>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</si>
  <si>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</si>
  <si>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</si>
  <si>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</si>
  <si>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</si>
  <si>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</si>
  <si>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</si>
  <si>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</si>
  <si>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</si>
  <si>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</si>
  <si>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</si>
  <si>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</si>
  <si>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</si>
  <si>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</si>
  <si>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</si>
  <si>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</si>
  <si>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</si>
  <si>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</si>
  <si>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</si>
  <si>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</si>
  <si>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</si>
  <si>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</si>
  <si>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</si>
  <si>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</si>
  <si>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</si>
  <si>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</si>
  <si>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</si>
  <si>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</si>
  <si>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</si>
  <si>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</si>
  <si>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</si>
  <si>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</si>
  <si>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</si>
  <si>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</si>
  <si>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</si>
  <si>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</si>
  <si>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</si>
  <si>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</si>
  <si>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</si>
  <si>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</si>
  <si>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</si>
  <si>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</si>
  <si>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</si>
  <si>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</si>
  <si>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</si>
  <si>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</si>
  <si>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</si>
  <si>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</si>
  <si>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</si>
  <si>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</si>
  <si>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</si>
  <si>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</si>
  <si>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</si>
  <si>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</si>
  <si>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</si>
  <si>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</si>
  <si>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</si>
  <si>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</si>
  <si>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</si>
  <si>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</si>
  <si>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</si>
  <si>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</si>
  <si>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</si>
  <si>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</si>
  <si>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</si>
  <si>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</si>
  <si>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</si>
  <si>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</si>
  <si>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</si>
  <si>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</si>
  <si>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</si>
  <si>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</si>
  <si>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</si>
  <si>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</si>
  <si>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</si>
  <si>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</si>
  <si>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</si>
  <si>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</si>
  <si>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</si>
  <si>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</si>
  <si>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</si>
  <si>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</si>
  <si>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</si>
  <si>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</si>
  <si>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</si>
  <si>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</si>
  <si>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</si>
  <si>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</si>
  <si>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</si>
  <si>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</si>
  <si>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</si>
  <si>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</si>
  <si>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</si>
  <si>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</si>
  <si>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</si>
  <si>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</si>
  <si>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</si>
  <si>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</si>
  <si>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</si>
  <si>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</si>
  <si>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</si>
  <si>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</si>
  <si>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</si>
  <si>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</si>
  <si>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</si>
  <si>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</si>
  <si>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</si>
  <si>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</si>
  <si>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</si>
  <si>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</si>
  <si>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</si>
  <si>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</si>
  <si>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</si>
  <si>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</si>
  <si>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</si>
  <si>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</si>
  <si>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</si>
  <si>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</si>
  <si>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</si>
  <si>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</si>
  <si>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</si>
  <si>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</si>
  <si>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</si>
  <si>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</si>
  <si>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</si>
  <si>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</si>
  <si>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</si>
  <si>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</si>
  <si>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</si>
  <si>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</si>
  <si>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</si>
  <si>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</si>
  <si>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</si>
  <si>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</si>
  <si>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</si>
  <si>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</si>
  <si>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</si>
  <si>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</si>
  <si>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</si>
  <si>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</si>
  <si>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</si>
  <si>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</si>
  <si>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</si>
  <si>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</si>
  <si>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</si>
  <si>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</si>
  <si>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</si>
  <si>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</si>
  <si>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</si>
  <si>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</si>
  <si>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</si>
  <si>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</si>
  <si>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</si>
  <si>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</si>
  <si>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</si>
  <si>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</si>
  <si>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</si>
  <si>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</si>
  <si>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</si>
  <si>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</si>
  <si>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</si>
  <si>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</si>
  <si>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</si>
  <si>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</si>
  <si>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</si>
  <si>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</si>
  <si>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</si>
  <si>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</si>
  <si>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</si>
  <si>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</si>
  <si>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</si>
  <si>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</si>
  <si>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</si>
  <si>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</si>
  <si>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</si>
  <si>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</si>
  <si>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</si>
  <si>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</si>
  <si>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</si>
  <si>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</si>
  <si>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</si>
  <si>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</si>
  <si>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</si>
  <si>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</si>
  <si>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</si>
  <si>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</si>
  <si>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</si>
  <si>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</si>
  <si>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</si>
  <si>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</si>
  <si>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</si>
  <si>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</si>
  <si>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</si>
  <si>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</si>
  <si>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</si>
  <si>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</si>
  <si>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</si>
  <si>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</si>
  <si>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</si>
  <si>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</si>
  <si>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</si>
  <si>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</si>
  <si>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</si>
  <si>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</si>
  <si>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</si>
  <si>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</si>
  <si>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</si>
  <si>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</si>
  <si>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</si>
  <si>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</si>
  <si>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</si>
  <si>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</si>
  <si>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</si>
  <si>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</si>
  <si>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</si>
  <si>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</si>
  <si>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</si>
  <si>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</si>
  <si>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</si>
  <si>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</si>
  <si>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</si>
  <si>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</si>
  <si>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</si>
  <si>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</si>
  <si>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</si>
  <si>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</si>
  <si>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</si>
  <si>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</si>
  <si>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</si>
  <si>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</si>
  <si>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</si>
  <si>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</si>
  <si>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</si>
  <si>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</si>
  <si>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</si>
  <si>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</si>
  <si>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</si>
  <si>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</si>
  <si>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</si>
  <si>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</si>
  <si>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</si>
  <si>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</si>
  <si>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</si>
  <si>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</si>
  <si>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</si>
  <si>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</si>
  <si>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</si>
  <si>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</si>
  <si>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</si>
  <si>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</si>
  <si>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</si>
  <si>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</si>
  <si>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</si>
  <si>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</si>
  <si>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</si>
  <si>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</si>
  <si>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</si>
  <si>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</si>
  <si>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</si>
  <si>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</si>
  <si>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</si>
  <si>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</si>
  <si>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</si>
  <si>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</si>
  <si>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</si>
  <si>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</si>
  <si>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</si>
  <si>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</si>
  <si>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</si>
  <si>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</si>
  <si>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</si>
  <si>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</si>
  <si>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</si>
  <si>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</si>
  <si>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</si>
  <si>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</si>
  <si>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</si>
  <si>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</si>
  <si>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</si>
  <si>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</si>
  <si>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</si>
  <si>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</si>
  <si>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</si>
  <si>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</si>
  <si>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</si>
  <si>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</si>
  <si>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</si>
  <si>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</si>
  <si>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</si>
  <si>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</si>
  <si>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</si>
  <si>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</si>
  <si>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</si>
  <si>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</si>
  <si>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</si>
  <si>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</si>
  <si>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</si>
  <si>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</si>
  <si>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</si>
  <si>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</si>
  <si>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</si>
  <si>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</si>
  <si>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</si>
  <si>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</si>
  <si>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</si>
  <si>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</si>
  <si>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</si>
  <si>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</si>
  <si>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</si>
  <si>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</si>
  <si>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</si>
  <si>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</si>
  <si>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</si>
  <si>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</si>
  <si>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</si>
  <si>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</si>
  <si>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</si>
  <si>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</si>
  <si>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</si>
  <si>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</si>
  <si>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</si>
  <si>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</si>
  <si>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</si>
  <si>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</si>
  <si>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</si>
  <si>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</si>
  <si>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</si>
  <si>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</si>
  <si>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</si>
  <si>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</si>
  <si>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</si>
  <si>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</si>
  <si>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</si>
  <si>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</si>
  <si>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</si>
  <si>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</si>
  <si>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</si>
  <si>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</si>
  <si>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</si>
  <si>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</si>
  <si>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</si>
  <si>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</si>
  <si>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</si>
  <si>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</si>
  <si>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</si>
  <si>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</si>
  <si>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</si>
  <si>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</si>
  <si>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</si>
  <si>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</si>
  <si>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</si>
  <si>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</si>
  <si>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</si>
  <si>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</si>
  <si>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</si>
  <si>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</si>
  <si>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</si>
  <si>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</si>
  <si>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</si>
  <si>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</si>
  <si>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</si>
  <si>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</si>
  <si>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</si>
  <si>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</si>
  <si>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</si>
  <si>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</si>
  <si>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</si>
  <si>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</si>
  <si>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</si>
  <si>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</si>
  <si>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</si>
  <si>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</si>
  <si>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</si>
  <si>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</si>
  <si>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</si>
  <si>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</si>
  <si>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</si>
  <si>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</si>
  <si>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</si>
  <si>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</si>
  <si>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</si>
  <si>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</si>
  <si>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</si>
  <si>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</si>
  <si>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</si>
  <si>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</si>
  <si>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</si>
  <si>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</si>
  <si>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</si>
  <si>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</si>
  <si>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</si>
  <si>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</si>
  <si>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</si>
  <si>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</si>
  <si>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</si>
  <si>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</si>
  <si>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</si>
  <si>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</si>
  <si>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</si>
  <si>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</si>
  <si>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</si>
  <si>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</si>
  <si>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</si>
  <si>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</si>
  <si>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</si>
  <si>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</si>
  <si>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</si>
  <si>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</si>
  <si>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</si>
  <si>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</si>
  <si>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</si>
  <si>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</si>
  <si>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</si>
  <si>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</si>
  <si>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</si>
  <si>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</si>
  <si>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</si>
  <si>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</si>
  <si>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</si>
  <si>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</si>
  <si>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</si>
  <si>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</si>
  <si>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</si>
  <si>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</si>
  <si>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</si>
  <si>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</si>
  <si>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</si>
  <si>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</si>
  <si>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</si>
  <si>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</si>
  <si>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</si>
  <si>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</si>
  <si>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</si>
  <si>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</si>
  <si>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</si>
  <si>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</si>
  <si>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</si>
  <si>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</si>
  <si>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</si>
  <si>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</si>
  <si>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</si>
  <si>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</si>
  <si>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</si>
  <si>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</si>
  <si>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</si>
  <si>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</si>
  <si>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</si>
  <si>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</si>
  <si>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</si>
  <si>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</si>
  <si>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</si>
  <si>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</si>
  <si>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</si>
  <si>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</si>
  <si>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</si>
  <si>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</si>
  <si>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</si>
  <si>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</si>
  <si>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</si>
  <si>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</si>
  <si>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</si>
  <si>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</si>
  <si>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</si>
  <si>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</si>
  <si>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</si>
  <si>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</si>
  <si>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</si>
  <si>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</si>
  <si>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</si>
  <si>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</si>
  <si>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</si>
  <si>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</si>
  <si>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</si>
  <si>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</si>
  <si>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</si>
  <si>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</si>
  <si>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</si>
  <si>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</si>
  <si>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</si>
  <si>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</si>
  <si>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</si>
  <si>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</si>
  <si>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</si>
  <si>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</si>
  <si>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</si>
  <si>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</si>
  <si>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</si>
  <si>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</si>
  <si>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</si>
  <si>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</si>
  <si>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</si>
  <si>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</si>
  <si>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</si>
  <si>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</si>
  <si>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</si>
  <si>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</si>
  <si>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</si>
  <si>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</si>
  <si>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</si>
  <si>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</si>
  <si>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</si>
  <si>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</si>
  <si>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</si>
  <si>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</si>
  <si>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</si>
  <si>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</si>
  <si>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</si>
  <si>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</si>
  <si>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</si>
  <si>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</si>
  <si>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</si>
  <si>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</si>
  <si>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</si>
  <si>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</si>
  <si>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</si>
  <si>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</si>
  <si>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</si>
  <si>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</si>
  <si>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</si>
  <si>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</si>
  <si>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</si>
  <si>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</si>
  <si>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</si>
  <si>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</si>
  <si>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</si>
  <si>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</si>
  <si>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</si>
  <si>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</si>
  <si>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</si>
  <si>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</si>
  <si>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</si>
  <si>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</si>
  <si>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</si>
  <si>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</si>
  <si>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</si>
  <si>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</si>
  <si>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</si>
  <si>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</si>
  <si>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</si>
  <si>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</si>
  <si>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</si>
  <si>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</si>
  <si>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</si>
  <si>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</si>
  <si>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</si>
  <si>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</si>
  <si>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</si>
  <si>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</si>
  <si>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</si>
  <si>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</si>
  <si>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</si>
  <si>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</si>
  <si>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</si>
  <si>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</si>
  <si>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</si>
  <si>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</si>
  <si>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</si>
  <si>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</si>
  <si>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</si>
  <si>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</si>
  <si>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</si>
  <si>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</si>
  <si>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</si>
  <si>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</si>
  <si>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</si>
  <si>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</si>
  <si>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</si>
  <si>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</si>
  <si>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</si>
  <si>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</si>
  <si>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</si>
  <si>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</si>
  <si>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</si>
  <si>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</si>
  <si>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</si>
  <si>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</si>
  <si>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</si>
  <si>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</si>
  <si>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</si>
  <si>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</si>
  <si>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</si>
  <si>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</si>
  <si>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</si>
  <si>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</si>
  <si>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</si>
  <si>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</si>
  <si>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</si>
  <si>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</si>
  <si>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</si>
  <si>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</si>
  <si>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</si>
  <si>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</si>
  <si>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</si>
  <si>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</si>
  <si>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</si>
  <si>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</si>
  <si>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</si>
  <si>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</si>
  <si>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</si>
  <si>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</si>
  <si>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</si>
  <si>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</si>
  <si>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</si>
  <si>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</si>
  <si>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</si>
  <si>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</si>
  <si>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</si>
  <si>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</si>
  <si>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</si>
  <si>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</si>
  <si>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</si>
  <si>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</si>
  <si>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</si>
  <si>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</si>
  <si>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</si>
  <si>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</si>
  <si>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</si>
  <si>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</si>
  <si>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</si>
  <si>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</si>
  <si>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</si>
  <si>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</si>
  <si>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</si>
  <si>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</si>
  <si>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</si>
  <si>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</si>
  <si>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</si>
  <si>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</si>
  <si>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</si>
  <si>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</si>
  <si>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</si>
  <si>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</si>
  <si>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</si>
  <si>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</si>
  <si>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</si>
  <si>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</si>
  <si>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</si>
  <si>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</si>
  <si>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</si>
  <si>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</si>
  <si>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</si>
  <si>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</si>
  <si>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</si>
  <si>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</si>
  <si>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</si>
  <si>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</si>
  <si>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</si>
  <si>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</si>
  <si>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</si>
  <si>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</si>
  <si>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</si>
  <si>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</si>
  <si>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</si>
  <si>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</si>
  <si>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</si>
  <si>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</si>
  <si>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</si>
  <si>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</si>
  <si>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</si>
  <si>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</si>
  <si>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</si>
  <si>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</si>
  <si>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</si>
  <si>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</si>
  <si>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</si>
  <si>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</si>
  <si>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</si>
  <si>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</si>
  <si>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</si>
  <si>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</si>
  <si>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</si>
  <si>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</si>
  <si>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</si>
  <si>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</si>
  <si>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</si>
  <si>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</si>
  <si>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</si>
  <si>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</si>
  <si>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</si>
  <si>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</si>
  <si>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</si>
  <si>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</si>
  <si>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</si>
  <si>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</si>
  <si>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</si>
  <si>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</si>
  <si>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</si>
  <si>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</si>
  <si>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</si>
  <si>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</si>
  <si>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</si>
  <si>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</si>
  <si>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</si>
  <si>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</si>
  <si>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</si>
  <si>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</si>
  <si>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</si>
  <si>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</si>
  <si>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</si>
  <si>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</si>
  <si>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</si>
  <si>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</si>
  <si>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</si>
  <si>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</si>
  <si>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</si>
  <si>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</si>
  <si>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</si>
  <si>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</si>
  <si>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</si>
  <si>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</si>
  <si>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</si>
  <si>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</si>
  <si>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</si>
  <si>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</si>
  <si>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</si>
  <si>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</si>
  <si>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</si>
  <si>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</si>
  <si>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</si>
  <si>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</si>
  <si>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</si>
  <si>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</si>
  <si>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</si>
  <si>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</si>
  <si>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</si>
  <si>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</si>
  <si>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</si>
  <si>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</si>
  <si>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</si>
  <si>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</si>
  <si>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</si>
  <si>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</si>
  <si>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</si>
  <si>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</si>
  <si>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</si>
  <si>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</si>
  <si>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</si>
  <si>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</si>
  <si>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</si>
  <si>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</si>
  <si>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</si>
  <si>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</si>
  <si>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</si>
  <si>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</si>
  <si>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</si>
  <si>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</si>
  <si>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</si>
  <si>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</si>
  <si>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</si>
  <si>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</si>
  <si>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</si>
  <si>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</si>
  <si>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</si>
  <si>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</si>
  <si>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</si>
  <si>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</si>
  <si>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</si>
  <si>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</si>
  <si>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</si>
  <si>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</si>
  <si>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</si>
  <si>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</si>
  <si>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</si>
  <si>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</si>
  <si>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</si>
  <si>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</si>
  <si>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</si>
  <si>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</si>
  <si>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</si>
  <si>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</si>
  <si>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</si>
  <si>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</si>
  <si>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</si>
  <si>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</si>
  <si>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</si>
  <si>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</si>
  <si>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</si>
  <si>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</si>
  <si>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</si>
  <si>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</si>
  <si>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</si>
  <si>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</si>
  <si>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</si>
  <si>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</si>
  <si>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</si>
  <si>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</si>
  <si>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</si>
  <si>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</si>
  <si>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</si>
  <si>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</si>
  <si>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</si>
  <si>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</si>
  <si>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</si>
  <si>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</si>
  <si>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</si>
  <si>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</si>
  <si>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</si>
  <si>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</si>
  <si>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</si>
  <si>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</si>
  <si>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</si>
  <si>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</si>
  <si>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</si>
  <si>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</si>
  <si>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</si>
  <si>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</si>
  <si>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</si>
  <si>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</si>
  <si>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</si>
  <si>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</si>
  <si>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</si>
  <si>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</si>
  <si>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</si>
  <si>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</si>
  <si>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</si>
  <si>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</si>
  <si>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</si>
  <si>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</si>
  <si>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</si>
  <si>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</si>
  <si>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</si>
  <si>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</si>
  <si>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</si>
  <si>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</si>
  <si>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</si>
  <si>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</si>
  <si>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</si>
  <si>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</si>
  <si>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</si>
  <si>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</si>
  <si>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</si>
  <si>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</si>
  <si>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</si>
  <si>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</si>
  <si>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</si>
  <si>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</si>
  <si>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</si>
  <si>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</si>
  <si>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</si>
  <si>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</si>
  <si>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</si>
  <si>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</si>
  <si>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</si>
  <si>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</si>
  <si>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</si>
  <si>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</si>
  <si>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</si>
  <si>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</si>
  <si>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</si>
  <si>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</si>
  <si>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</si>
  <si>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</si>
  <si>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</si>
  <si>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</si>
  <si>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</si>
  <si>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</si>
  <si>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</si>
  <si>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</si>
  <si>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</si>
  <si>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</si>
  <si>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</si>
  <si>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</si>
  <si>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</si>
  <si>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</si>
  <si>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</si>
  <si>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</si>
  <si>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</si>
  <si>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</si>
  <si>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</si>
  <si>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</si>
  <si>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</si>
  <si>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</si>
  <si>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</si>
  <si>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</si>
  <si>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</si>
  <si>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</si>
  <si>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</si>
  <si>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</si>
  <si>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</si>
  <si>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</si>
  <si>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</si>
  <si>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</si>
  <si>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</si>
  <si>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</si>
  <si>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</si>
  <si>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</si>
  <si>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</si>
  <si>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</si>
  <si>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</si>
  <si>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</si>
  <si>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</si>
  <si>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</si>
  <si>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</si>
  <si>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</si>
  <si>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</si>
  <si>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</si>
  <si>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</si>
  <si>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</si>
  <si>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</si>
  <si>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</si>
  <si>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</si>
  <si>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</si>
  <si>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</si>
  <si>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</si>
  <si>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</si>
  <si>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</si>
  <si>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</si>
  <si>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</si>
  <si>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</si>
  <si>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</si>
  <si>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</si>
  <si>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</si>
  <si>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</si>
  <si>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</si>
  <si>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</si>
  <si>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</si>
  <si>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</si>
  <si>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</si>
  <si>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</si>
  <si>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</si>
  <si>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</si>
  <si>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</si>
  <si>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</si>
  <si>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</si>
  <si>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</si>
  <si>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</si>
  <si>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</si>
  <si>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</si>
  <si>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</si>
  <si>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</si>
  <si>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</si>
  <si>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</si>
  <si>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</si>
  <si>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</si>
  <si>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</si>
  <si>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</si>
  <si>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</si>
  <si>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</si>
  <si>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</si>
  <si>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</si>
  <si>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</si>
  <si>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</si>
  <si>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</si>
  <si>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</si>
  <si>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</si>
  <si>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</si>
  <si>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</si>
  <si>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</si>
  <si>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</si>
  <si>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</si>
  <si>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</si>
  <si>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</si>
  <si>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</si>
  <si>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</si>
  <si>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</si>
  <si>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</si>
  <si>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</si>
  <si>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</si>
  <si>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</si>
  <si>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</si>
  <si>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</si>
  <si>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</si>
  <si>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</si>
  <si>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</si>
  <si>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</si>
  <si>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</si>
  <si>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</si>
  <si>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</si>
  <si>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</si>
  <si>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</si>
  <si>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</si>
  <si>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</si>
  <si>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</si>
  <si>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</si>
  <si>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</si>
  <si>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</si>
  <si>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</si>
  <si>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</si>
  <si>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</si>
  <si>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</si>
  <si>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</si>
  <si>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</si>
  <si>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</si>
  <si>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</si>
  <si>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</si>
  <si>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</si>
  <si>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</si>
  <si>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</si>
  <si>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</si>
  <si>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</si>
  <si>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</si>
  <si>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</si>
  <si>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</si>
  <si>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</si>
  <si>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</si>
  <si>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</si>
  <si>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</si>
  <si>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</si>
  <si>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</si>
  <si>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</si>
  <si>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</si>
  <si>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</si>
  <si>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</si>
  <si>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</si>
  <si>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</si>
  <si>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</si>
  <si>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</si>
  <si>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</si>
  <si>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</si>
  <si>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</si>
  <si>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</si>
  <si>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</si>
  <si>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</si>
  <si>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</si>
  <si>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</si>
  <si>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</si>
  <si>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</si>
  <si>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</si>
  <si>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</si>
  <si>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</si>
  <si>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</si>
  <si>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</si>
  <si>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</si>
  <si>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</si>
  <si>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</si>
  <si>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</si>
  <si>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</si>
  <si>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</si>
  <si>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</si>
  <si>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</si>
  <si>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</si>
  <si>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</si>
  <si>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</si>
  <si>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</si>
  <si>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</si>
  <si>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</si>
  <si>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</si>
  <si>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</si>
  <si>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</si>
  <si>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</si>
  <si>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</si>
  <si>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</si>
  <si>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</si>
  <si>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</si>
  <si>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</si>
  <si>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</si>
  <si>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</si>
  <si>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</si>
  <si>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</si>
  <si>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</si>
  <si>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</si>
  <si>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</si>
  <si>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</si>
  <si>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</si>
  <si>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</si>
  <si>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</si>
  <si>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</si>
  <si>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</si>
  <si>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</si>
  <si>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</si>
  <si>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</si>
  <si>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</si>
  <si>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</si>
  <si>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</si>
  <si>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</si>
  <si>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</si>
  <si>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</si>
  <si>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</si>
  <si>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</si>
  <si>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</si>
  <si>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</si>
  <si>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</si>
  <si>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</si>
  <si>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</si>
  <si>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</si>
  <si>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</si>
  <si>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</si>
  <si>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</si>
  <si>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</si>
  <si>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</si>
  <si>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</si>
  <si>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</si>
  <si>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</si>
  <si>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</si>
  <si>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</si>
  <si>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</si>
  <si>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</si>
  <si>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</si>
  <si>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</si>
  <si>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</si>
  <si>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</si>
  <si>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</si>
  <si>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</si>
  <si>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</si>
  <si>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</si>
  <si>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</si>
  <si>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</si>
  <si>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</si>
  <si>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</si>
  <si>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</si>
  <si>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</si>
  <si>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</si>
  <si>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</si>
  <si>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</si>
  <si>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</si>
  <si>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</si>
  <si>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</si>
  <si>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</si>
  <si>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</si>
  <si>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</si>
  <si>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</si>
  <si>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</si>
  <si>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</si>
  <si>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</si>
  <si>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</si>
  <si>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</si>
  <si>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</si>
  <si>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</si>
  <si>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</si>
  <si>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</si>
  <si>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</si>
  <si>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</si>
  <si>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</si>
  <si>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</si>
  <si>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</si>
  <si>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</si>
  <si>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</si>
  <si>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</si>
  <si>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</si>
  <si>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</si>
  <si>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</si>
  <si>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</si>
  <si>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</si>
  <si>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</si>
  <si>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</si>
  <si>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</si>
  <si>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</si>
  <si>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</si>
  <si>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</si>
  <si>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</si>
  <si>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</si>
  <si>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</si>
  <si>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</si>
  <si>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</si>
  <si>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</si>
  <si>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</si>
  <si>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</si>
  <si>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</si>
  <si>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</si>
  <si>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</si>
  <si>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</si>
  <si>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</si>
  <si>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</si>
  <si>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</si>
  <si>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</si>
  <si>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</si>
  <si>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</si>
  <si>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</si>
  <si>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</si>
  <si>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</si>
  <si>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</si>
  <si>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</si>
  <si>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</si>
  <si>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</si>
  <si>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</si>
  <si>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</si>
  <si>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</si>
  <si>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</si>
  <si>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</si>
  <si>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</si>
  <si>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</si>
  <si>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</si>
  <si>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</si>
  <si>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</si>
  <si>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</si>
  <si>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</si>
  <si>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</si>
  <si>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</si>
  <si>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</si>
  <si>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</si>
  <si>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</si>
  <si>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</si>
  <si>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</si>
  <si>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</si>
  <si>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</si>
  <si>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</si>
  <si>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</si>
  <si>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</si>
  <si>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</si>
  <si>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</si>
  <si>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</si>
  <si>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</si>
  <si>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</si>
  <si>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</si>
  <si>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</si>
  <si>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</si>
  <si>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</si>
  <si>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</si>
  <si>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</si>
  <si>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</si>
  <si>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</si>
  <si>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</si>
  <si>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</si>
  <si>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</si>
  <si>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</si>
  <si>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</si>
  <si>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</si>
  <si>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</si>
  <si>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</si>
  <si>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</si>
  <si>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</si>
  <si>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</si>
  <si>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</si>
  <si>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</si>
  <si>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</si>
  <si>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</si>
  <si>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</si>
  <si>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</si>
  <si>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</si>
  <si>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</si>
  <si>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</si>
  <si>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</si>
  <si>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</si>
  <si>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</si>
  <si>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</si>
  <si>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</si>
  <si>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</si>
  <si>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</si>
  <si>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</si>
  <si>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</si>
  <si>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</si>
  <si>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</si>
  <si>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</si>
  <si>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</si>
  <si>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</si>
  <si>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</si>
  <si>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</si>
  <si>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</si>
  <si>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</si>
  <si>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</si>
  <si>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</si>
  <si>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</si>
  <si>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</si>
  <si>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</si>
  <si>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</si>
  <si>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</si>
  <si>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</si>
  <si>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</si>
  <si>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</si>
  <si>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</si>
  <si>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</si>
  <si>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</si>
  <si>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</si>
  <si>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</si>
  <si>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</si>
  <si>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</si>
  <si>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</si>
  <si>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</si>
  <si>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</si>
  <si>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</si>
  <si>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</si>
  <si>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</si>
  <si>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</si>
  <si>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</si>
  <si>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</si>
  <si>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</si>
  <si>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</si>
  <si>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</si>
  <si>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</si>
  <si>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</si>
  <si>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</si>
  <si>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</si>
  <si>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</si>
  <si>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</si>
  <si>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</si>
  <si>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</si>
  <si>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</si>
  <si>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</si>
  <si>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</si>
  <si>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</si>
  <si>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</si>
  <si>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</si>
  <si>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</si>
  <si>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</si>
  <si>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</si>
  <si>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</si>
  <si>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</si>
  <si>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</si>
  <si>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</si>
  <si>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</si>
  <si>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</si>
  <si>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</si>
  <si>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</si>
  <si>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</si>
  <si>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</si>
  <si>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</si>
  <si>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</si>
  <si>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</si>
  <si>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</si>
  <si>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</si>
  <si>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</si>
  <si>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</si>
  <si>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</si>
  <si>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</si>
  <si>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</si>
  <si>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</si>
  <si>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</si>
  <si>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</si>
  <si>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</si>
  <si>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</si>
  <si>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</si>
  <si>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</si>
  <si>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</si>
  <si>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</si>
  <si>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</si>
  <si>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</si>
  <si>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</si>
  <si>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</si>
  <si>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</si>
  <si>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</si>
  <si>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</si>
  <si>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</si>
  <si>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</si>
  <si>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</si>
  <si>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</si>
  <si>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</si>
  <si>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</si>
  <si>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</si>
  <si>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</si>
  <si>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</si>
  <si>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</si>
  <si>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</si>
  <si>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</si>
  <si>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</si>
  <si>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</si>
  <si>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</si>
  <si>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</si>
  <si>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</si>
  <si>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</si>
  <si>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</si>
  <si>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</si>
  <si>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</si>
  <si>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</si>
  <si>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</si>
  <si>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</si>
  <si>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</si>
  <si>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</si>
  <si>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</si>
  <si>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</si>
  <si>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</si>
  <si>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</si>
  <si>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</si>
  <si>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</si>
  <si>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</si>
  <si>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</si>
  <si>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</si>
  <si>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</si>
  <si>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</si>
  <si>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</si>
  <si>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</si>
  <si>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</si>
  <si>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</si>
  <si>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</si>
  <si>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</si>
  <si>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</si>
  <si>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</si>
  <si>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</si>
  <si>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</si>
  <si>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</si>
  <si>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</si>
  <si>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</si>
  <si>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</si>
  <si>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</si>
  <si>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</si>
  <si>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</si>
  <si>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</si>
  <si>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</si>
  <si>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</si>
  <si>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</si>
  <si>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</si>
  <si>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</si>
  <si>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</si>
  <si>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</si>
  <si>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</si>
  <si>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</si>
  <si>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</si>
  <si>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</si>
  <si>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</si>
  <si>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</si>
  <si>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</si>
  <si>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</si>
  <si>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</si>
  <si>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</si>
  <si>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</si>
  <si>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</si>
  <si>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</si>
  <si>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</si>
  <si>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</si>
  <si>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</si>
  <si>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</si>
  <si>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</si>
  <si>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</si>
  <si>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</si>
  <si>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</si>
  <si>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</si>
  <si>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</si>
  <si>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</si>
  <si>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</si>
  <si>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</si>
  <si>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</si>
  <si>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</si>
  <si>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</si>
  <si>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</si>
  <si>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</si>
  <si>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</si>
  <si>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</si>
  <si>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</si>
  <si>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</si>
  <si>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</si>
  <si>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</si>
  <si>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</si>
  <si>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</si>
  <si>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</si>
  <si>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</si>
  <si>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</si>
  <si>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</si>
  <si>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</si>
  <si>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</si>
  <si>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</si>
  <si>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</si>
  <si>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</si>
  <si>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</si>
  <si>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</si>
  <si>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</si>
  <si>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</si>
  <si>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</si>
  <si>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</si>
  <si>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</si>
  <si>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</si>
  <si>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</si>
  <si>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</si>
  <si>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</si>
  <si>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</si>
  <si>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</si>
  <si>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</si>
  <si>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</si>
  <si>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</si>
  <si>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</si>
  <si>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</si>
  <si>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</si>
  <si>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</si>
  <si>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</si>
  <si>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</si>
  <si>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</si>
  <si>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</si>
  <si>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</si>
  <si>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</si>
  <si>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</si>
  <si>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</si>
  <si>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</si>
  <si>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</si>
  <si>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</si>
  <si>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</si>
  <si>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</si>
  <si>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</si>
  <si>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</si>
  <si>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</si>
  <si>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</si>
  <si>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</si>
  <si>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</si>
  <si>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</si>
  <si>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</si>
  <si>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</si>
  <si>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</si>
  <si>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</si>
  <si>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</si>
  <si>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</si>
  <si>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</si>
  <si>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</si>
  <si>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</si>
  <si>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</si>
  <si>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</si>
  <si>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</si>
  <si>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</si>
  <si>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</si>
  <si>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</si>
  <si>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</si>
  <si>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</si>
  <si>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</si>
  <si>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</si>
  <si>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</si>
  <si>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</si>
  <si>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</si>
  <si>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</si>
  <si>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</si>
  <si>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</si>
  <si>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</si>
  <si>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</si>
  <si>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</si>
  <si>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</si>
  <si>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</si>
  <si>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</si>
  <si>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</si>
  <si>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</si>
  <si>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</si>
  <si>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</si>
  <si>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</si>
  <si>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</si>
  <si>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</si>
  <si>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</si>
  <si>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</si>
  <si>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</si>
  <si>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</si>
  <si>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</si>
  <si>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</si>
  <si>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</si>
  <si>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</si>
  <si>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</si>
  <si>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</si>
  <si>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</si>
  <si>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</si>
  <si>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</si>
  <si>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</si>
  <si>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</si>
  <si>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</si>
  <si>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</si>
  <si>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</si>
  <si>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</si>
  <si>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</si>
  <si>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</si>
  <si>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</si>
  <si>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</si>
  <si>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</si>
  <si>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</si>
  <si>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</si>
  <si>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</si>
  <si>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</si>
  <si>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</si>
  <si>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</si>
  <si>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</si>
  <si>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</si>
  <si>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</si>
  <si>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</si>
  <si>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</si>
  <si>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</si>
  <si>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</si>
  <si>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</si>
  <si>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</si>
  <si>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</si>
  <si>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</si>
  <si>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</si>
  <si>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</si>
  <si>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</si>
  <si>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</si>
  <si>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</si>
  <si>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</si>
  <si>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</si>
  <si>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</si>
  <si>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</si>
  <si>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</si>
  <si>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</si>
  <si>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</si>
  <si>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</si>
  <si>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</si>
  <si>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</si>
  <si>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</si>
  <si>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</si>
  <si>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</si>
  <si>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</si>
  <si>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</si>
  <si>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</si>
  <si>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</si>
  <si>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</si>
  <si>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</si>
  <si>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</si>
  <si>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</si>
  <si>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</si>
  <si>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</si>
  <si>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</si>
  <si>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</si>
  <si>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</si>
  <si>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</si>
  <si>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</si>
  <si>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</si>
  <si>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</si>
  <si>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</si>
  <si>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</si>
  <si>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</si>
  <si>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</si>
  <si>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</si>
  <si>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</si>
  <si>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</si>
  <si>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</si>
  <si>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</si>
  <si>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</si>
  <si>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</si>
  <si>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</si>
  <si>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</si>
  <si>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</si>
  <si>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</si>
  <si>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</si>
  <si>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</si>
  <si>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</si>
  <si>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</si>
  <si>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</si>
  <si>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</si>
  <si>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</si>
  <si>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</si>
  <si>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</si>
  <si>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</si>
  <si>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</si>
  <si>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</si>
  <si>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</si>
  <si>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</si>
  <si>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</si>
  <si>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</si>
  <si>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</si>
  <si>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</si>
  <si>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</si>
  <si>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</si>
  <si>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</si>
  <si>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</si>
  <si>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</si>
  <si>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</si>
  <si>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</si>
  <si>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</si>
  <si>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</si>
  <si>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</si>
  <si>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</si>
  <si>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</si>
  <si>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</si>
  <si>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</si>
  <si>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</si>
  <si>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</si>
  <si>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</si>
  <si>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</si>
  <si>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</si>
  <si>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</si>
  <si>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</si>
  <si>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</si>
  <si>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</si>
  <si>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</si>
  <si>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</si>
  <si>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</si>
  <si>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</si>
  <si>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</si>
  <si>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</si>
  <si>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</si>
  <si>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</si>
  <si>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</si>
  <si>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</si>
  <si>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</si>
  <si>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</si>
  <si>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</si>
  <si>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</si>
  <si>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</si>
  <si>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</si>
  <si>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</si>
  <si>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</si>
  <si>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</si>
  <si>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</si>
  <si>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</si>
  <si>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</si>
  <si>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</si>
  <si>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</si>
  <si>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</si>
  <si>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</si>
  <si>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</si>
  <si>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</si>
  <si>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</si>
  <si>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</si>
  <si>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</si>
  <si>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</si>
  <si>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</si>
  <si>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</si>
  <si>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</si>
  <si>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</si>
  <si>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</si>
  <si>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</si>
  <si>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</si>
  <si>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</si>
  <si>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</si>
  <si>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</si>
  <si>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</si>
  <si>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</si>
  <si>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</si>
  <si>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</si>
  <si>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</si>
  <si>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</si>
  <si>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</si>
  <si>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</si>
  <si>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</si>
  <si>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</si>
  <si>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</si>
  <si>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</si>
  <si>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</si>
  <si>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</si>
  <si>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</si>
  <si>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</si>
  <si>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</si>
  <si>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</si>
  <si>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</si>
  <si>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</si>
  <si>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</si>
  <si>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</si>
  <si>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</si>
  <si>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</si>
  <si>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</si>
  <si>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</si>
  <si>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</si>
  <si>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</si>
  <si>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</si>
  <si>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</si>
  <si>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</si>
  <si>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</si>
  <si>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</si>
  <si>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</si>
  <si>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</si>
  <si>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</si>
  <si>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</si>
  <si>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</si>
  <si>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</si>
  <si>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</si>
  <si>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</si>
  <si>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</si>
  <si>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</si>
  <si>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</si>
  <si>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</si>
  <si>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</si>
  <si>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</si>
  <si>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</si>
  <si>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</si>
  <si>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</si>
  <si>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</si>
  <si>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</si>
  <si>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</si>
  <si>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</si>
  <si>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</si>
  <si>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</si>
  <si>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</si>
  <si>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</si>
  <si>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</si>
  <si>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</si>
  <si>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</si>
  <si>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</si>
  <si>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</si>
  <si>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</si>
  <si>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</si>
  <si>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</si>
  <si>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</si>
  <si>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</si>
  <si>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</si>
  <si>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</si>
  <si>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</si>
  <si>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</si>
  <si>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</si>
  <si>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</si>
  <si>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</si>
  <si>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</si>
  <si>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</si>
  <si>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</si>
  <si>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</si>
  <si>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</si>
  <si>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</si>
  <si>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</si>
  <si>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</si>
  <si>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</si>
  <si>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</si>
  <si>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</si>
  <si>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</si>
  <si>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</si>
  <si>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</si>
  <si>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</si>
  <si>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</si>
  <si>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</si>
  <si>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</si>
  <si>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</si>
  <si>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</si>
  <si>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</si>
  <si>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</si>
  <si>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</si>
  <si>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</si>
  <si>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</si>
  <si>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</si>
  <si>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</si>
  <si>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</si>
  <si>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</si>
  <si>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</si>
  <si>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</si>
  <si>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</si>
  <si>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</si>
  <si>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</si>
  <si>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</si>
  <si>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</si>
  <si>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</si>
  <si>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</si>
  <si>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</si>
  <si>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</si>
  <si>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</si>
  <si>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</si>
  <si>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</si>
  <si>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</si>
  <si>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</si>
  <si>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</si>
  <si>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</si>
  <si>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</si>
  <si>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</si>
  <si>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</si>
  <si>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</si>
  <si>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</si>
  <si>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</si>
  <si>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</si>
  <si>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</si>
  <si>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</si>
  <si>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</si>
  <si>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</si>
  <si>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</si>
  <si>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</si>
  <si>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</si>
  <si>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</si>
  <si>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</si>
  <si>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</si>
  <si>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</si>
  <si>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</si>
  <si>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</si>
  <si>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</si>
  <si>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</si>
  <si>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</si>
  <si>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</si>
  <si>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</si>
  <si>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</si>
  <si>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</si>
  <si>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</si>
  <si>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</si>
  <si>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</si>
  <si>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</si>
  <si>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</si>
  <si>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</si>
  <si>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</si>
  <si>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</si>
  <si>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</si>
  <si>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</si>
  <si>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</si>
  <si>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</si>
  <si>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</si>
  <si>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</si>
  <si>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</si>
  <si>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</si>
  <si>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</si>
  <si>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</si>
  <si>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</si>
  <si>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</si>
  <si>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</si>
  <si>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</si>
  <si>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</si>
  <si>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</si>
  <si>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</si>
  <si>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</si>
  <si>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</si>
  <si>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</si>
  <si>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</si>
  <si>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</si>
  <si>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</si>
  <si>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</si>
  <si>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</si>
  <si>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</si>
  <si>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</si>
  <si>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</si>
  <si>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</si>
  <si>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</si>
  <si>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</si>
  <si>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</si>
  <si>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</si>
  <si>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</si>
  <si>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</si>
  <si>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</si>
  <si>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</si>
  <si>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</si>
  <si>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</si>
  <si>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</si>
  <si>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</si>
  <si>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</si>
  <si>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</si>
  <si>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</si>
  <si>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</si>
  <si>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</si>
  <si>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</si>
  <si>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</si>
  <si>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</si>
  <si>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</si>
  <si>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</si>
  <si>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</si>
  <si>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</si>
  <si>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</si>
  <si>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</si>
  <si>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</si>
  <si>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</si>
  <si>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</si>
  <si>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</si>
  <si>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</si>
  <si>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</si>
  <si>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</si>
  <si>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</si>
  <si>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</si>
  <si>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</si>
  <si>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</si>
  <si>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</si>
  <si>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</si>
  <si>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</si>
  <si>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</si>
  <si>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</si>
  <si>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</si>
  <si>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</si>
  <si>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</si>
  <si>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</si>
  <si>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</si>
  <si>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</si>
  <si>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</si>
  <si>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</si>
  <si>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</si>
  <si>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</si>
  <si>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</si>
  <si>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</si>
  <si>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</si>
  <si>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</si>
  <si>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</si>
  <si>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</si>
  <si>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</si>
  <si>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</si>
  <si>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</si>
  <si>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</si>
  <si>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</si>
  <si>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</si>
  <si>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</si>
  <si>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</si>
  <si>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</si>
  <si>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</si>
  <si>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</si>
  <si>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</si>
  <si>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</si>
  <si>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</si>
  <si>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</si>
  <si>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</si>
  <si>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</si>
  <si>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</si>
  <si>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</si>
  <si>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</si>
  <si>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</si>
  <si>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</si>
  <si>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</si>
  <si>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</si>
  <si>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</si>
  <si>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</si>
  <si>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</si>
  <si>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</si>
  <si>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</si>
  <si>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</si>
  <si>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</si>
  <si>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</si>
  <si>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</si>
  <si>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</si>
  <si>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</si>
  <si>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</si>
  <si>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</si>
  <si>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</si>
  <si>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</si>
  <si>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</si>
  <si>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</si>
  <si>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</si>
  <si>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</si>
  <si>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</si>
  <si>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</si>
  <si>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</si>
  <si>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</si>
  <si>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</si>
  <si>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</si>
  <si>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</si>
  <si>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</si>
  <si>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</si>
  <si>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</si>
  <si>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</si>
  <si>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</si>
  <si>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</si>
  <si>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</si>
  <si>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</si>
  <si>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</si>
  <si>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</si>
  <si>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</si>
  <si>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</si>
  <si>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</si>
  <si>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</si>
  <si>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</si>
  <si>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</si>
  <si>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</si>
  <si>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</si>
  <si>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</si>
  <si>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</si>
  <si>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</si>
  <si>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</si>
  <si>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</si>
  <si>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</si>
  <si>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</si>
  <si>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</si>
  <si>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</si>
  <si>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</si>
  <si>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</si>
  <si>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</si>
  <si>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</si>
  <si>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</si>
  <si>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</si>
  <si>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</si>
  <si>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</si>
  <si>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</si>
  <si>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</si>
  <si>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</si>
  <si>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</si>
  <si>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</si>
  <si>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</si>
  <si>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</si>
  <si>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</si>
  <si>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</si>
  <si>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</si>
  <si>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</si>
  <si>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</si>
  <si>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</si>
  <si>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</si>
  <si>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</si>
  <si>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</si>
  <si>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</si>
  <si>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</si>
  <si>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</si>
  <si>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</si>
  <si>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</si>
  <si>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</si>
  <si>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</si>
  <si>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</si>
  <si>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</si>
  <si>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</si>
  <si>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</si>
  <si>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</si>
  <si>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</si>
  <si>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</si>
  <si>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</si>
  <si>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</si>
  <si>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</si>
  <si>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</si>
  <si>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</si>
  <si>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</si>
  <si>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</si>
  <si>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</si>
  <si>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</si>
  <si>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</si>
  <si>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</si>
  <si>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</si>
  <si>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</si>
  <si>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</si>
  <si>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</si>
  <si>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</si>
  <si>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</si>
  <si>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</si>
  <si>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</si>
  <si>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</si>
  <si>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</si>
  <si>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</si>
  <si>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</si>
  <si>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</si>
  <si>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</si>
  <si>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</si>
  <si>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</si>
  <si>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</si>
  <si>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</si>
  <si>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</si>
  <si>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</si>
  <si>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</si>
  <si>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</si>
  <si>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</si>
  <si>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</si>
  <si>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</si>
  <si>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</si>
  <si>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</si>
  <si>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</si>
  <si>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</si>
  <si>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</si>
  <si>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</si>
  <si>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</si>
  <si>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</si>
  <si>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</si>
  <si>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</si>
  <si>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</si>
  <si>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</si>
  <si>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</si>
  <si>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</si>
  <si>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</si>
  <si>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</si>
  <si>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</si>
  <si>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</si>
  <si>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</si>
  <si>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</si>
  <si>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</si>
  <si>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</si>
  <si>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</si>
  <si>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</si>
  <si>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</si>
  <si>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</si>
  <si>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</si>
  <si>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</si>
  <si>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</si>
  <si>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</si>
  <si>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</si>
  <si>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</si>
  <si>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</si>
  <si>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</si>
  <si>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</si>
  <si>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</si>
  <si>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</si>
  <si>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</si>
  <si>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</si>
  <si>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</si>
  <si>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</si>
  <si>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</si>
  <si>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</si>
  <si>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</si>
  <si>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</si>
  <si>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</si>
  <si>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</si>
  <si>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</si>
  <si>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</si>
  <si>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</si>
  <si>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</si>
  <si>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</si>
  <si>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</si>
  <si>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</si>
  <si>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</si>
  <si>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</si>
  <si>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</si>
  <si>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</si>
  <si>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</si>
  <si>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</si>
  <si>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</si>
  <si>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</si>
  <si>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</si>
  <si>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</si>
  <si>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</si>
  <si>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</si>
  <si>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</si>
  <si>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</si>
  <si>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</si>
  <si>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</si>
  <si>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</si>
  <si>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</si>
  <si>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</si>
  <si>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</si>
  <si>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</si>
  <si>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</si>
  <si>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</si>
  <si>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</si>
  <si>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</si>
  <si>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</si>
  <si>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</si>
  <si>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</si>
  <si>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</si>
  <si>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</si>
  <si>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</si>
  <si>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</si>
  <si>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</si>
  <si>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</si>
  <si>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</si>
  <si>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</si>
  <si>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</si>
  <si>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</si>
  <si>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</si>
  <si>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</si>
  <si>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</si>
  <si>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</si>
  <si>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</si>
  <si>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</si>
  <si>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</si>
  <si>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</si>
  <si>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</si>
  <si>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</si>
  <si>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</si>
  <si>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</si>
  <si>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</si>
  <si>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</si>
  <si>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</si>
  <si>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</si>
  <si>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</si>
  <si>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</si>
  <si>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</si>
  <si>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</si>
  <si>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</si>
  <si>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</si>
  <si>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</si>
  <si>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</si>
  <si>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</si>
  <si>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</si>
  <si>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</si>
  <si>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</si>
  <si>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</si>
  <si>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</si>
  <si>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</si>
  <si>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</si>
  <si>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</si>
  <si>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</si>
  <si>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</si>
  <si>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</si>
  <si>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</si>
  <si>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</si>
  <si>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</si>
  <si>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</si>
  <si>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</si>
  <si>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</si>
  <si>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</si>
  <si>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</si>
  <si>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</si>
  <si>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</si>
  <si>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</si>
  <si>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</si>
  <si>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</si>
  <si>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</si>
  <si>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</si>
  <si>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</si>
  <si>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</si>
  <si>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</si>
  <si>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</si>
  <si>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</si>
  <si>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</si>
  <si>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</si>
  <si>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</si>
  <si>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</si>
  <si>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</si>
  <si>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</si>
  <si>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</si>
  <si>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</si>
  <si>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</si>
  <si>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</si>
  <si>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</si>
  <si>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</si>
  <si>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</si>
  <si>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</si>
  <si>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</si>
  <si>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</si>
  <si>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</si>
  <si>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</si>
  <si>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</si>
  <si>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</si>
  <si>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</si>
  <si>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</si>
  <si>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</si>
  <si>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</si>
  <si>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</si>
  <si>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</si>
  <si>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</si>
  <si>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</si>
  <si>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</si>
  <si>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</si>
  <si>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</si>
  <si>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</si>
  <si>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</si>
  <si>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</si>
  <si>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</si>
  <si>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</si>
  <si>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</si>
  <si>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</si>
  <si>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</si>
  <si>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</si>
  <si>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</si>
  <si>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</si>
  <si>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</si>
  <si>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</si>
  <si>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</si>
  <si>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</si>
  <si>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</si>
  <si>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</si>
  <si>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</si>
  <si>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</si>
  <si>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</si>
  <si>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</si>
  <si>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</si>
  <si>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</si>
  <si>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</si>
  <si>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</si>
  <si>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</si>
  <si>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</si>
  <si>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</si>
  <si>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</si>
  <si>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</si>
  <si>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</si>
  <si>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</si>
  <si>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</si>
  <si>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</si>
  <si>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</si>
  <si>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</si>
  <si>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</si>
  <si>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</si>
  <si>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</si>
  <si>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</si>
  <si>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</si>
  <si>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</si>
  <si>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</si>
  <si>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</si>
  <si>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</si>
  <si>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</si>
  <si>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</si>
  <si>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</si>
  <si>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</si>
  <si>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</si>
  <si>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</si>
  <si>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</si>
  <si>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</si>
  <si>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</si>
  <si>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</si>
  <si>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</si>
  <si>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</si>
  <si>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</si>
  <si>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</si>
  <si>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</si>
  <si>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</si>
  <si>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</si>
  <si>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</si>
  <si>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</si>
  <si>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</si>
  <si>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</si>
  <si>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</si>
  <si>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</si>
  <si>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</si>
  <si>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</si>
  <si>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</si>
  <si>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</si>
  <si>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</si>
  <si>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</si>
  <si>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</si>
  <si>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</si>
  <si>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</si>
  <si>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</si>
  <si>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</si>
  <si>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</si>
  <si>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</si>
  <si>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</si>
  <si>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</si>
  <si>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</si>
  <si>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</si>
  <si>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</si>
  <si>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</si>
  <si>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</si>
  <si>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</si>
  <si>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</si>
  <si>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</si>
  <si>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</si>
  <si>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</si>
  <si>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</si>
  <si>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</si>
  <si>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</si>
  <si>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</si>
  <si>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</si>
  <si>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</si>
  <si>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</si>
  <si>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</si>
  <si>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</si>
  <si>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</si>
  <si>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</si>
  <si>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</si>
  <si>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</si>
  <si>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</si>
  <si>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</si>
  <si>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</si>
  <si>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</si>
  <si>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</si>
  <si>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</si>
  <si>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</si>
  <si>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</si>
  <si>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</si>
  <si>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</si>
  <si>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</si>
  <si>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</si>
  <si>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</si>
  <si>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</si>
  <si>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</si>
  <si>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</si>
  <si>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</si>
  <si>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</si>
  <si>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</si>
  <si>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</si>
  <si>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</si>
  <si>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</si>
  <si>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</si>
  <si>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</si>
  <si>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</si>
  <si>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</si>
  <si>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</si>
  <si>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</si>
  <si>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</si>
  <si>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</si>
  <si>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</si>
  <si>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</si>
  <si>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</si>
  <si>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</si>
  <si>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</si>
  <si>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</si>
  <si>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</si>
  <si>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</si>
  <si>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</si>
  <si>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</si>
  <si>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</si>
  <si>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</si>
  <si>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</si>
  <si>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</si>
  <si>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</si>
  <si>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</si>
  <si>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</si>
  <si>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</si>
  <si>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</si>
  <si>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</si>
  <si>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</si>
  <si>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</si>
  <si>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</si>
  <si>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</si>
  <si>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</si>
  <si>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</si>
  <si>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</si>
  <si>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</si>
  <si>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</si>
  <si>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</si>
  <si>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</si>
  <si>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</si>
  <si>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</si>
  <si>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</si>
  <si>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</si>
  <si>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</si>
  <si>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</si>
  <si>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</si>
  <si>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</si>
  <si>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</si>
  <si>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</si>
  <si>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</si>
  <si>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</si>
  <si>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</si>
  <si>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</si>
  <si>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</si>
  <si>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</si>
  <si>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</si>
  <si>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</si>
  <si>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</si>
  <si>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</si>
  <si>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</si>
  <si>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</si>
  <si>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</si>
  <si>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</si>
  <si>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</si>
  <si>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</si>
  <si>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</si>
  <si>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</si>
  <si>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</si>
  <si>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</si>
  <si>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</si>
  <si>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</si>
  <si>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</si>
  <si>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</si>
  <si>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</si>
  <si>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</si>
  <si>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</si>
  <si>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</si>
  <si>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</si>
  <si>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</si>
  <si>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</si>
  <si>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</si>
  <si>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</si>
  <si>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</si>
  <si>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</si>
  <si>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</si>
  <si>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</si>
  <si>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</si>
  <si>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</si>
  <si>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</si>
  <si>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</si>
  <si>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</si>
  <si>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</si>
  <si>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</si>
  <si>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</si>
  <si>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</si>
  <si>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</si>
  <si>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</si>
  <si>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</si>
  <si>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</si>
  <si>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</si>
  <si>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</si>
  <si>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</si>
  <si>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</si>
  <si>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</si>
  <si>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</si>
  <si>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</si>
  <si>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</si>
  <si>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</si>
  <si>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</si>
  <si>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</si>
  <si>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</si>
  <si>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</si>
  <si>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</si>
  <si>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</si>
  <si>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</si>
  <si>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</si>
  <si>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</si>
  <si>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</si>
  <si>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</si>
  <si>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</si>
  <si>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</si>
  <si>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</si>
  <si>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</si>
  <si>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</si>
  <si>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</si>
  <si>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</si>
  <si>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</si>
  <si>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</si>
  <si>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</si>
  <si>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</si>
  <si>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</si>
  <si>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</si>
  <si>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</si>
  <si>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</si>
  <si>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</si>
  <si>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</si>
  <si>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</si>
  <si>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</si>
  <si>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</si>
  <si>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</si>
  <si>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</si>
  <si>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</si>
  <si>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</si>
  <si>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</si>
  <si>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</si>
  <si>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</si>
  <si>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</si>
  <si>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</si>
  <si>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</si>
  <si>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</si>
  <si>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</si>
  <si>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</si>
  <si>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</si>
  <si>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</si>
  <si>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</si>
  <si>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</si>
  <si>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</si>
  <si>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</si>
  <si>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</si>
  <si>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</si>
  <si>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</si>
  <si>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</si>
  <si>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</si>
  <si>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</si>
  <si>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</si>
  <si>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</si>
  <si>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</si>
  <si>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</si>
  <si>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</si>
  <si>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</si>
  <si>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</si>
  <si>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</si>
  <si>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</si>
  <si>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</si>
  <si>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</si>
  <si>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</si>
  <si>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</si>
  <si>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</si>
  <si>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</si>
  <si>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</si>
  <si>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</si>
  <si>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</si>
  <si>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</si>
  <si>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</si>
  <si>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</si>
  <si>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</si>
  <si>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</si>
  <si>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</si>
  <si>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</si>
  <si>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</si>
  <si>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</si>
  <si>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</si>
  <si>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</si>
  <si>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</si>
  <si>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</si>
  <si>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</si>
  <si>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</si>
  <si>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</si>
  <si>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</si>
  <si>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</si>
  <si>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</si>
  <si>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</si>
  <si>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</si>
  <si>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</si>
  <si>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</si>
  <si>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</si>
  <si>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</si>
  <si>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</si>
  <si>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</si>
  <si>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</si>
  <si>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</si>
  <si>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</si>
  <si>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</si>
  <si>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</si>
  <si>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</si>
  <si>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</si>
  <si>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</si>
  <si>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</si>
  <si>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</si>
  <si>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</si>
  <si>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</si>
  <si>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</si>
  <si>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</si>
  <si>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</si>
  <si>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</si>
  <si>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</si>
  <si>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</si>
  <si>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</si>
  <si>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</si>
  <si>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</si>
  <si>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</si>
  <si>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</si>
  <si>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</si>
  <si>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</si>
  <si>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</si>
  <si>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</si>
  <si>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</si>
  <si>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</si>
  <si>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</si>
  <si>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</si>
  <si>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</si>
  <si>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</si>
  <si>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</si>
  <si>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</si>
  <si>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</si>
  <si>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</si>
  <si>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</si>
  <si>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</si>
  <si>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</si>
  <si>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</si>
  <si>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</si>
  <si>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</si>
  <si>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</si>
  <si>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</si>
  <si>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</si>
  <si>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</si>
  <si>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</si>
  <si>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</si>
  <si>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</si>
  <si>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</si>
  <si>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</si>
  <si>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</si>
  <si>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</si>
  <si>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</si>
  <si>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</si>
  <si>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</si>
  <si>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</si>
  <si>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</si>
  <si>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</si>
  <si>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</si>
  <si>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</si>
  <si>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</si>
  <si>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</si>
  <si>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</si>
  <si>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</si>
  <si>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</si>
  <si>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</si>
  <si>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</si>
  <si>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</si>
  <si>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</si>
  <si>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</si>
  <si>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</si>
  <si>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</si>
  <si>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</si>
  <si>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</si>
  <si>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</si>
  <si>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</si>
  <si>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</si>
  <si>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</si>
  <si>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</si>
  <si>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</si>
  <si>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</si>
  <si>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</si>
  <si>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</si>
  <si>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</si>
  <si>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</si>
  <si>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</si>
  <si>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</si>
  <si>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</si>
  <si>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</si>
  <si>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</si>
  <si>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</si>
  <si>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</si>
  <si>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</si>
  <si>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</si>
  <si>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</si>
  <si>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</si>
  <si>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</si>
  <si>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</si>
  <si>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</si>
  <si>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</si>
  <si>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</si>
  <si>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</si>
  <si>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</si>
  <si>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</si>
  <si>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</si>
  <si>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</si>
  <si>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</si>
  <si>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</si>
  <si>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</si>
  <si>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</si>
  <si>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</si>
  <si>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</si>
  <si>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</si>
  <si>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</si>
  <si>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</si>
  <si>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</si>
  <si>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</si>
  <si>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</si>
  <si>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</si>
  <si>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</si>
  <si>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</si>
  <si>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</si>
  <si>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</si>
  <si>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</si>
  <si>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</si>
  <si>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</si>
  <si>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</si>
  <si>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</si>
  <si>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</si>
  <si>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</si>
  <si>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</si>
  <si>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</si>
  <si>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</si>
  <si>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</si>
  <si>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</si>
  <si>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</si>
  <si>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</si>
  <si>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</si>
  <si>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</si>
  <si>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</si>
  <si>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</si>
  <si>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</si>
  <si>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</si>
  <si>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</si>
  <si>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</si>
  <si>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</si>
  <si>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</si>
  <si>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</si>
  <si>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</si>
  <si>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</si>
  <si>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</si>
  <si>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</si>
  <si>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</si>
  <si>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</si>
  <si>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</si>
  <si>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</si>
  <si>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</si>
  <si>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</si>
  <si>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</si>
  <si>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</si>
  <si>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</si>
  <si>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</si>
  <si>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</si>
  <si>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</si>
  <si>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</si>
  <si>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</si>
  <si>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</si>
  <si>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</si>
  <si>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</si>
  <si>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</si>
  <si>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</si>
  <si>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</si>
  <si>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</si>
  <si>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</si>
  <si>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</si>
  <si>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</si>
  <si>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</si>
  <si>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</si>
  <si>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</si>
  <si>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</si>
  <si>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</si>
  <si>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</si>
  <si>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</si>
  <si>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</si>
  <si>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</si>
  <si>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</si>
  <si>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</si>
  <si>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</si>
  <si>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</si>
  <si>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</si>
  <si>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</si>
  <si>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</si>
  <si>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</si>
  <si>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</si>
  <si>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</si>
  <si>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</si>
  <si>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</si>
  <si>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</si>
  <si>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</si>
  <si>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</si>
  <si>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</si>
  <si>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</si>
  <si>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</si>
  <si>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</si>
  <si>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</si>
  <si>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</si>
  <si>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</si>
  <si>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</si>
  <si>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</si>
  <si>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</si>
  <si>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</si>
  <si>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</si>
  <si>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</si>
  <si>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</si>
  <si>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</si>
  <si>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</si>
  <si>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</si>
  <si>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</si>
  <si>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</si>
  <si>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</si>
  <si>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</si>
  <si>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</si>
  <si>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</si>
  <si>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</si>
  <si>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</si>
  <si>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</si>
  <si>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</si>
  <si>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</si>
  <si>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</si>
  <si>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</si>
  <si>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</si>
  <si>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</si>
  <si>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</si>
  <si>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</si>
  <si>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</si>
  <si>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</si>
  <si>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</si>
  <si>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</si>
  <si>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</si>
  <si>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</si>
  <si>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</si>
  <si>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</si>
  <si>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</si>
  <si>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</si>
  <si>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</si>
  <si>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</si>
  <si>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</si>
  <si>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</si>
  <si>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</si>
  <si>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</si>
  <si>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</si>
  <si>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</si>
  <si>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</si>
  <si>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</si>
  <si>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</si>
  <si>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</si>
  <si>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</si>
  <si>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</si>
  <si>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</si>
  <si>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</si>
  <si>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</si>
  <si>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</si>
  <si>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</si>
  <si>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</si>
  <si>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</si>
  <si>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</si>
  <si>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</si>
  <si>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</si>
  <si>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</si>
  <si>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</si>
  <si>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</si>
  <si>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</si>
  <si>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</si>
  <si>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</si>
  <si>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</si>
  <si>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</si>
  <si>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</si>
  <si>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</si>
  <si>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</si>
  <si>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</si>
  <si>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</si>
  <si>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</si>
  <si>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</si>
  <si>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</si>
  <si>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</si>
  <si>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</si>
  <si>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</si>
  <si>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</si>
  <si>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</si>
  <si>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</si>
  <si>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</si>
  <si>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</si>
  <si>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</si>
  <si>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</si>
  <si>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</si>
  <si>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</si>
  <si>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</si>
  <si>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</si>
  <si>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</si>
  <si>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</si>
  <si>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</si>
  <si>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</si>
  <si>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</si>
  <si>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</si>
  <si>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</si>
  <si>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</si>
  <si>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</si>
  <si>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</si>
  <si>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</si>
  <si>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</si>
  <si>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</si>
  <si>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</si>
  <si>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</si>
  <si>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</si>
  <si>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</si>
  <si>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</si>
  <si>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</si>
  <si>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</si>
  <si>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</si>
  <si>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</si>
  <si>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</si>
  <si>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</si>
  <si>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</si>
  <si>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</si>
  <si>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</si>
  <si>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</si>
  <si>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</si>
  <si>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</si>
  <si>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</si>
  <si>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</si>
  <si>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</si>
  <si>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</si>
  <si>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</si>
  <si>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</si>
  <si>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</si>
  <si>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</si>
  <si>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</si>
  <si>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</si>
  <si>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</si>
  <si>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</si>
  <si>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</si>
  <si>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</si>
  <si>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</si>
  <si>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</si>
  <si>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</si>
  <si>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</si>
  <si>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</si>
  <si>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</si>
  <si>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</si>
  <si>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</si>
  <si>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</si>
  <si>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</si>
  <si>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</si>
  <si>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</si>
  <si>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</si>
  <si>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</si>
  <si>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</si>
  <si>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</si>
  <si>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</si>
  <si>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</si>
  <si>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</si>
  <si>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</si>
  <si>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</si>
  <si>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</si>
  <si>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</si>
  <si>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</si>
  <si>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</si>
  <si>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</si>
  <si>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</si>
  <si>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</si>
  <si>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</si>
  <si>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</si>
  <si>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</si>
  <si>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</si>
  <si>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</si>
  <si>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</si>
  <si>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</si>
  <si>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</si>
  <si>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</si>
  <si>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</si>
  <si>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</si>
  <si>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</si>
  <si>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</si>
  <si>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</si>
  <si>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</si>
  <si>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</si>
  <si>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</si>
  <si>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</si>
  <si>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</si>
  <si>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</si>
  <si>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</si>
  <si>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</si>
  <si>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</si>
  <si>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</si>
  <si>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</si>
  <si>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</si>
  <si>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</si>
  <si>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</si>
  <si>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</si>
  <si>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</si>
  <si>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</si>
  <si>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</si>
  <si>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</si>
  <si>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</si>
  <si>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</si>
  <si>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</si>
  <si>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</si>
  <si>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</si>
  <si>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</si>
  <si>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</si>
  <si>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</si>
  <si>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</si>
  <si>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</si>
  <si>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</si>
  <si>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</si>
  <si>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</si>
  <si>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</si>
  <si>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</si>
  <si>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</si>
  <si>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</si>
  <si>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</si>
  <si>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</si>
  <si>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</si>
  <si>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</si>
  <si>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</si>
  <si>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</si>
  <si>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</si>
  <si>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</si>
  <si>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</si>
  <si>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</si>
  <si>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</si>
  <si>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</si>
  <si>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</si>
  <si>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</si>
  <si>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</si>
  <si>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</si>
  <si>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</si>
  <si>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</si>
  <si>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</si>
  <si>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</si>
  <si>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</si>
  <si>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</si>
  <si>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</si>
  <si>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</si>
  <si>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</si>
  <si>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</si>
  <si>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</si>
  <si>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</si>
  <si>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</si>
  <si>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</si>
  <si>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</si>
  <si>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</si>
  <si>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</si>
  <si>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</si>
  <si>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</si>
  <si>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</si>
  <si>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</si>
  <si>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</si>
  <si>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</si>
  <si>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</si>
  <si>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</si>
  <si>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</si>
  <si>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</si>
  <si>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</si>
  <si>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</si>
  <si>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</si>
  <si>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</si>
  <si>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</si>
  <si>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</si>
  <si>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</si>
  <si>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</si>
  <si>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</si>
  <si>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</si>
  <si>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</si>
  <si>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</si>
  <si>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</si>
  <si>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</si>
  <si>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</si>
  <si>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</si>
  <si>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</si>
  <si>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</si>
  <si>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</si>
  <si>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</si>
  <si>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</si>
  <si>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</si>
  <si>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</si>
  <si>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</si>
  <si>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</si>
  <si>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</si>
  <si>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</si>
  <si>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</si>
  <si>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</si>
  <si>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</si>
  <si>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</si>
  <si>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</si>
  <si>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</si>
  <si>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</si>
  <si>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</si>
  <si>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</si>
  <si>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</si>
  <si>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</si>
  <si>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</si>
  <si>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</si>
  <si>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</si>
  <si>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</si>
  <si>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</si>
  <si>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</si>
  <si>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</si>
  <si>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</si>
  <si>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</si>
  <si>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</si>
  <si>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</si>
  <si>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</si>
  <si>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</si>
  <si>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</si>
  <si>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</si>
  <si>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</si>
  <si>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</si>
  <si>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</si>
  <si>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</si>
  <si>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</si>
  <si>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</si>
  <si>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</si>
  <si>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</si>
  <si>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</si>
  <si>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</si>
  <si>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</si>
  <si>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</si>
  <si>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</si>
  <si>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</si>
  <si>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</si>
  <si>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</si>
  <si>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</si>
  <si>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</si>
  <si>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</si>
  <si>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</si>
  <si>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</si>
  <si>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</si>
  <si>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</si>
  <si>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</si>
  <si>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</si>
  <si>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</si>
  <si>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</si>
  <si>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</si>
  <si>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</si>
  <si>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</si>
  <si>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</si>
  <si>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</si>
  <si>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</si>
  <si>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</si>
  <si>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</si>
  <si>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</si>
  <si>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</si>
  <si>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</si>
  <si>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</si>
  <si>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</si>
  <si>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</si>
  <si>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</si>
  <si>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</si>
  <si>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</si>
  <si>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</si>
  <si>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</si>
  <si>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</si>
  <si>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</si>
  <si>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</si>
  <si>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</si>
  <si>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</si>
  <si>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</si>
  <si>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</si>
  <si>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</si>
  <si>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</si>
  <si>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</si>
  <si>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</si>
  <si>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</si>
  <si>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</si>
  <si>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</si>
  <si>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</si>
  <si>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</si>
  <si>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</si>
  <si>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</si>
  <si>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</si>
  <si>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</si>
  <si>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</si>
  <si>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</si>
  <si>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</si>
  <si>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</si>
  <si>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</si>
  <si>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</si>
  <si>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</si>
  <si>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</si>
  <si>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</si>
  <si>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</si>
  <si>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</si>
  <si>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</si>
  <si>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</si>
  <si>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</si>
  <si>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</si>
  <si>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</si>
  <si>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</si>
  <si>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</si>
  <si>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</si>
  <si>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</si>
  <si>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</si>
  <si>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</si>
  <si>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</si>
  <si>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</si>
  <si>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</si>
  <si>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</si>
  <si>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</si>
  <si>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</si>
  <si>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</si>
  <si>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</si>
  <si>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</si>
  <si>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</si>
  <si>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</si>
  <si>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</si>
  <si>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</si>
  <si>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</si>
  <si>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</si>
  <si>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</si>
  <si>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</si>
  <si>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</si>
  <si>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</si>
  <si>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</si>
  <si>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</si>
  <si>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</si>
  <si>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</si>
  <si>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</si>
  <si>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</si>
  <si>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</si>
  <si>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</si>
  <si>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</si>
  <si>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</si>
  <si>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</si>
  <si>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</si>
  <si>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</si>
  <si>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</si>
  <si>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</si>
  <si>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</si>
  <si>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</si>
  <si>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</si>
  <si>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</si>
  <si>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</si>
  <si>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</si>
  <si>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</si>
  <si>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</si>
  <si>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</si>
  <si>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</si>
  <si>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</si>
  <si>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</si>
  <si>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</si>
  <si>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</si>
  <si>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</si>
  <si>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</si>
  <si>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</si>
  <si>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</si>
  <si>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</si>
  <si>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</si>
  <si>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</si>
  <si>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</si>
  <si>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</si>
  <si>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</si>
  <si>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</si>
  <si>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</si>
  <si>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</si>
  <si>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</si>
  <si>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</si>
  <si>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</si>
  <si>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</si>
  <si>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</si>
  <si>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</si>
  <si>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</si>
  <si>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</si>
  <si>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</si>
  <si>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</si>
  <si>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</si>
  <si>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</si>
  <si>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</si>
  <si>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</si>
  <si>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</si>
  <si>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</si>
  <si>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</si>
  <si>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</si>
  <si>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</si>
  <si>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</si>
  <si>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</si>
  <si>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</si>
  <si>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</si>
  <si>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</si>
  <si>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</si>
  <si>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</si>
  <si>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</si>
  <si>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</si>
  <si>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</si>
  <si>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</si>
  <si>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</si>
  <si>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</si>
  <si>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</si>
  <si>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</si>
  <si>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</si>
  <si>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</si>
  <si>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</si>
  <si>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</si>
  <si>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</si>
  <si>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</si>
  <si>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</si>
  <si>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</si>
  <si>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</si>
  <si>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</si>
  <si>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</si>
  <si>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</si>
  <si>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</si>
  <si>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</si>
  <si>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</si>
  <si>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</si>
  <si>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</si>
  <si>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</si>
  <si>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</si>
  <si>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</si>
  <si>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</si>
  <si>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</si>
  <si>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</si>
  <si>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</si>
  <si>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</si>
  <si>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</si>
  <si>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</si>
  <si>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</si>
  <si>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</si>
  <si>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</si>
  <si>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</si>
  <si>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</si>
  <si>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</si>
  <si>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</si>
  <si>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</si>
  <si>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</si>
  <si>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</si>
  <si>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</si>
  <si>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</si>
  <si>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</si>
  <si>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</si>
  <si>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</si>
  <si>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</si>
  <si>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</si>
  <si>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</si>
  <si>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</si>
  <si>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</si>
  <si>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</si>
  <si>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</si>
  <si>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</si>
  <si>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</si>
  <si>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</si>
  <si>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</si>
  <si>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</si>
  <si>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</si>
  <si>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</si>
  <si>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</si>
  <si>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</si>
  <si>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</si>
  <si>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</si>
  <si>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</si>
  <si>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</si>
  <si>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</si>
  <si>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</si>
  <si>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</si>
  <si>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</si>
  <si>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</si>
  <si>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</si>
  <si>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</si>
  <si>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</si>
  <si>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</si>
  <si>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</si>
  <si>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</si>
  <si>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</si>
  <si>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</si>
  <si>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</si>
  <si>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</si>
  <si>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</si>
  <si>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</si>
  <si>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</si>
  <si>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</si>
  <si>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</si>
  <si>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</si>
  <si>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</si>
  <si>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</si>
  <si>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</si>
  <si>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</si>
  <si>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</si>
  <si>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</si>
  <si>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</si>
  <si>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</si>
  <si>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</si>
  <si>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</si>
  <si>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</si>
  <si>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</si>
  <si>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</si>
  <si>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</si>
  <si>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</si>
  <si>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</si>
  <si>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</si>
  <si>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</si>
  <si>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</si>
  <si>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</si>
  <si>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</si>
  <si>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</si>
  <si>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</si>
  <si>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</si>
  <si>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</si>
  <si>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</si>
  <si>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</si>
  <si>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</si>
  <si>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</si>
  <si>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</si>
  <si>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</si>
  <si>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</si>
  <si>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</si>
  <si>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</si>
  <si>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</si>
  <si>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</si>
  <si>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</si>
  <si>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</si>
  <si>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</si>
  <si>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</si>
  <si>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</si>
  <si>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</si>
  <si>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</si>
  <si>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</si>
  <si>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</si>
  <si>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</si>
  <si>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</si>
  <si>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</si>
  <si>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</si>
  <si>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</si>
  <si>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</si>
  <si>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</si>
  <si>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</si>
  <si>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</si>
  <si>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</si>
  <si>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</si>
  <si>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</si>
  <si>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</si>
  <si>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</si>
  <si>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</si>
  <si>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</si>
  <si>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</si>
  <si>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</si>
  <si>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</si>
  <si>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</si>
  <si>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</si>
  <si>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</si>
  <si>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</si>
  <si>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</si>
  <si>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</si>
  <si>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</si>
  <si>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</si>
  <si>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</si>
  <si>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</si>
  <si>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</si>
  <si>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</si>
  <si>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</si>
  <si>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</si>
  <si>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</si>
  <si>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</si>
  <si>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</si>
  <si>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</si>
  <si>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</si>
  <si>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</si>
  <si>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</si>
  <si>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</si>
  <si>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</si>
  <si>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</si>
  <si>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</si>
  <si>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</si>
  <si>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</si>
  <si>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</si>
  <si>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</si>
  <si>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</si>
  <si>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</si>
  <si>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</si>
  <si>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</si>
  <si>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</si>
  <si>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</si>
  <si>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</si>
  <si>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</si>
  <si>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</si>
  <si>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</si>
  <si>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</si>
  <si>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</si>
  <si>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</si>
  <si>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</si>
  <si>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</si>
  <si>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</si>
  <si>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</si>
  <si>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</si>
  <si>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</si>
  <si>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</si>
  <si>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</si>
  <si>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</si>
  <si>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</si>
  <si>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</si>
  <si>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</si>
  <si>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</si>
  <si>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</si>
  <si>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</si>
  <si>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</si>
  <si>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</si>
  <si>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</si>
  <si>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</si>
  <si>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</si>
  <si>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</si>
  <si>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</si>
  <si>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</si>
  <si>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</si>
  <si>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</si>
  <si>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</si>
  <si>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</si>
  <si>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</si>
  <si>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</si>
  <si>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</si>
  <si>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</si>
  <si>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</si>
  <si>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</si>
  <si>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</si>
  <si>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</si>
  <si>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</si>
  <si>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</si>
  <si>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</si>
  <si>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</si>
  <si>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</si>
  <si>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</si>
  <si>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</si>
  <si>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</si>
  <si>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</si>
  <si>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</si>
  <si>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</si>
  <si>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</si>
  <si>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</si>
  <si>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</si>
  <si>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</si>
  <si>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</si>
  <si>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</si>
  <si>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</si>
  <si>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</si>
  <si>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</si>
  <si>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</si>
  <si>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</si>
  <si>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</si>
  <si>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</si>
  <si>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</si>
  <si>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</si>
  <si>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</si>
  <si>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</si>
  <si>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</si>
  <si>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</si>
  <si>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</si>
  <si>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</si>
  <si>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</si>
  <si>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</si>
  <si>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</si>
  <si>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</si>
  <si>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</si>
  <si>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</si>
  <si>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</si>
  <si>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</si>
  <si>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</si>
  <si>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</si>
  <si>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</si>
  <si>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</si>
  <si>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</si>
  <si>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</si>
  <si>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</si>
  <si>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</si>
  <si>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</si>
  <si>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</si>
  <si>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</si>
  <si>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</si>
  <si>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</si>
  <si>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</si>
  <si>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</si>
  <si>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</si>
  <si>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</si>
  <si>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</si>
  <si>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</si>
  <si>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</si>
  <si>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</si>
  <si>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</si>
  <si>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</si>
  <si>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</si>
  <si>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</si>
  <si>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</si>
  <si>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</si>
  <si>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</si>
  <si>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</si>
  <si>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</si>
  <si>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</si>
  <si>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</si>
  <si>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</si>
  <si>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</si>
  <si>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</si>
  <si>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</si>
  <si>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</si>
  <si>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</si>
  <si>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</si>
  <si>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</si>
  <si>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</si>
  <si>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</si>
  <si>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</si>
  <si>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</si>
  <si>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</si>
  <si>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</si>
  <si>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</si>
  <si>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</si>
  <si>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</si>
  <si>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</si>
  <si>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</si>
  <si>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</si>
  <si>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</si>
  <si>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</si>
  <si>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</si>
  <si>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</si>
  <si>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</si>
  <si>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</si>
  <si>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</si>
  <si>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</si>
  <si>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</si>
  <si>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</si>
  <si>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</si>
  <si>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</si>
  <si>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</si>
  <si>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</si>
  <si>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</si>
  <si>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</si>
  <si>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</si>
  <si>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</si>
  <si>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</si>
  <si>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</si>
  <si>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</si>
  <si>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</si>
  <si>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</si>
  <si>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</si>
  <si>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</si>
  <si>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</si>
  <si>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</si>
  <si>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</si>
  <si>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</si>
  <si>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</si>
  <si>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</si>
  <si>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</si>
  <si>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</si>
  <si>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</si>
  <si>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</si>
  <si>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</si>
  <si>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</si>
  <si>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</si>
  <si>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</si>
  <si>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</si>
  <si>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</si>
  <si>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</si>
  <si>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</si>
  <si>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</si>
  <si>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</si>
  <si>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</si>
  <si>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</si>
  <si>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</si>
  <si>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</si>
  <si>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</si>
  <si>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</si>
  <si>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</si>
  <si>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</si>
  <si>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</si>
  <si>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</si>
  <si>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</si>
  <si>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</si>
  <si>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</si>
  <si>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</si>
  <si>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</si>
  <si>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</si>
  <si>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</si>
  <si>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</si>
  <si>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</si>
  <si>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</si>
  <si>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</si>
  <si>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</si>
  <si>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</si>
  <si>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</si>
  <si>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</si>
  <si>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</si>
  <si>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</si>
  <si>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</si>
  <si>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</si>
  <si>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</si>
  <si>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</si>
  <si>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</si>
  <si>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</si>
  <si>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</si>
  <si>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</si>
  <si>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</si>
  <si>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</si>
  <si>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</si>
  <si>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</si>
  <si>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</si>
  <si>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</si>
  <si>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</si>
  <si>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</si>
  <si>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</si>
  <si>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</si>
  <si>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</si>
  <si>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</si>
  <si>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</si>
  <si>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</si>
  <si>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</si>
  <si>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</si>
  <si>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</si>
  <si>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</si>
  <si>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</si>
  <si>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</si>
  <si>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</si>
  <si>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</si>
  <si>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</si>
  <si>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</si>
  <si>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</si>
  <si>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</si>
  <si>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</si>
  <si>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</si>
  <si>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</si>
  <si>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</si>
  <si>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</si>
  <si>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</si>
  <si>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</si>
  <si>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</si>
  <si>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</si>
  <si>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</si>
  <si>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</si>
  <si>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</si>
  <si>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</si>
  <si>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</si>
  <si>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</si>
  <si>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</si>
  <si>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</si>
  <si>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</si>
  <si>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</si>
  <si>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</si>
  <si>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</si>
  <si>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</si>
  <si>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</si>
  <si>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</si>
  <si>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</si>
  <si>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</si>
  <si>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</si>
  <si>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</si>
  <si>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</si>
  <si>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</si>
  <si>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</si>
  <si>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</si>
  <si>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</si>
  <si>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</si>
  <si>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</si>
  <si>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</si>
  <si>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</si>
  <si>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</si>
  <si>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</si>
  <si>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</si>
  <si>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</si>
  <si>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</si>
  <si>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</si>
  <si>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</si>
  <si>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</si>
  <si>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</si>
  <si>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</si>
  <si>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</si>
  <si>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</si>
  <si>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</si>
  <si>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</si>
  <si>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</si>
  <si>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</si>
  <si>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</si>
  <si>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</si>
  <si>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</si>
  <si>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</si>
  <si>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</si>
  <si>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</si>
  <si>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</si>
  <si>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</si>
  <si>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</si>
  <si>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</si>
  <si>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</si>
  <si>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</si>
  <si>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</si>
  <si>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</si>
  <si>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</si>
  <si>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</si>
  <si>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</si>
  <si>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</si>
  <si>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</si>
  <si>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</si>
  <si>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</si>
  <si>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</si>
  <si>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</si>
  <si>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</si>
  <si>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</si>
  <si>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</si>
  <si>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</si>
  <si>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</si>
  <si>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</si>
  <si>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</si>
  <si>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</si>
  <si>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</si>
  <si>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</si>
  <si>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</si>
  <si>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</si>
  <si>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</si>
  <si>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</si>
  <si>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</si>
  <si>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</si>
  <si>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</si>
  <si>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</si>
  <si>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</si>
  <si>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</si>
  <si>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</si>
  <si>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</si>
  <si>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</si>
  <si>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</si>
  <si>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</si>
  <si>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</si>
  <si>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</si>
  <si>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</si>
  <si>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</si>
  <si>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</si>
  <si>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</si>
  <si>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</si>
  <si>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</si>
  <si>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</si>
  <si>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</si>
  <si>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</si>
  <si>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</si>
  <si>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</si>
  <si>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</si>
  <si>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</si>
  <si>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</si>
  <si>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</si>
  <si>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</si>
  <si>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</si>
  <si>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</si>
  <si>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</si>
  <si>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</si>
  <si>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</si>
  <si>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</si>
  <si>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</si>
  <si>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</si>
  <si>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</si>
  <si>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</si>
  <si>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</si>
  <si>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</si>
  <si>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</si>
  <si>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</si>
  <si>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</si>
  <si>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</si>
  <si>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</si>
  <si>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</si>
  <si>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</si>
  <si>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</si>
  <si>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</si>
  <si>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</si>
  <si>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</si>
  <si>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</si>
  <si>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</si>
  <si>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</si>
  <si>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</si>
  <si>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</si>
  <si>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</si>
  <si>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</si>
  <si>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</si>
  <si>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</si>
  <si>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</si>
  <si>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</si>
  <si>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</si>
  <si>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</si>
  <si>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</si>
  <si>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</si>
  <si>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</si>
  <si>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</si>
  <si>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</si>
  <si>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</si>
  <si>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</si>
  <si>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</si>
  <si>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</si>
  <si>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</si>
  <si>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</si>
  <si>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</si>
  <si>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</si>
  <si>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</si>
  <si>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</si>
  <si>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</si>
  <si>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</si>
  <si>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</si>
  <si>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</si>
  <si>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</si>
  <si>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</si>
  <si>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</si>
  <si>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</si>
  <si>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</si>
  <si>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</si>
  <si>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</si>
  <si>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</si>
  <si>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</si>
  <si>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</si>
  <si>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</si>
  <si>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</si>
  <si>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</si>
  <si>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</si>
  <si>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</si>
  <si>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</si>
  <si>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</si>
  <si>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</si>
  <si>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</si>
  <si>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</si>
  <si>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</si>
  <si>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</si>
  <si>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</si>
  <si>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</si>
  <si>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</si>
  <si>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</si>
  <si>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</si>
  <si>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</si>
  <si>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</si>
  <si>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</si>
  <si>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</si>
  <si>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</si>
  <si>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</si>
  <si>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</si>
  <si>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</si>
  <si>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</si>
  <si>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</si>
  <si>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</si>
  <si>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</si>
  <si>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</si>
  <si>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</si>
  <si>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</si>
  <si>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</si>
  <si>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</si>
  <si>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</si>
  <si>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</si>
  <si>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</si>
  <si>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</si>
  <si>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</si>
  <si>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</si>
  <si>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</si>
  <si>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</si>
  <si>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</si>
  <si>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</si>
  <si>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</si>
  <si>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</si>
  <si>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</si>
  <si>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</si>
  <si>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</si>
  <si>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</si>
  <si>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</si>
  <si>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</si>
  <si>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</si>
  <si>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</si>
  <si>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</si>
  <si>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</si>
  <si>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</si>
  <si>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</si>
  <si>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</si>
  <si>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</si>
  <si>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</si>
  <si>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</si>
  <si>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</si>
  <si>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</si>
  <si>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</si>
  <si>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</si>
  <si>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</si>
  <si>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</si>
  <si>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</si>
  <si>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</si>
  <si>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</si>
  <si>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</si>
  <si>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</si>
  <si>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</si>
  <si>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</si>
  <si>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</si>
  <si>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</si>
  <si>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</si>
  <si>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</si>
  <si>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</si>
  <si>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</si>
  <si>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</si>
  <si>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</si>
  <si>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</si>
  <si>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</si>
  <si>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</si>
  <si>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</si>
  <si>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</si>
  <si>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</si>
  <si>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</si>
  <si>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</si>
  <si>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</si>
  <si>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</si>
  <si>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</si>
  <si>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</si>
  <si>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</si>
  <si>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</si>
  <si>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</si>
  <si>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</si>
  <si>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</si>
  <si>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</si>
  <si>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</si>
  <si>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</si>
  <si>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</si>
  <si>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</si>
  <si>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</si>
  <si>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</si>
  <si>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</si>
  <si>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</si>
  <si>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</si>
  <si>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</si>
  <si>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</si>
  <si>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</si>
  <si>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</si>
  <si>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</si>
  <si>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</si>
  <si>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</si>
  <si>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</si>
  <si>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</si>
  <si>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</si>
  <si>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</si>
  <si>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</si>
  <si>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</si>
  <si>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</si>
  <si>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</si>
  <si>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</si>
  <si>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</si>
  <si>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</si>
  <si>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</si>
  <si>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</si>
  <si>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</si>
  <si>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</si>
  <si>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</si>
  <si>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</si>
  <si>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</si>
  <si>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</si>
  <si>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</si>
  <si>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</si>
  <si>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</si>
  <si>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</si>
  <si>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</si>
  <si>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</si>
  <si>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</si>
  <si>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</si>
  <si>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</si>
  <si>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</si>
  <si>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</si>
  <si>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</si>
  <si>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</si>
  <si>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</si>
  <si>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</si>
  <si>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</si>
  <si>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</si>
  <si>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</si>
  <si>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</si>
  <si>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</si>
  <si>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</si>
  <si>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</si>
  <si>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</si>
  <si>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</si>
  <si>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</si>
  <si>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</si>
  <si>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</si>
  <si>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</si>
  <si>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</si>
  <si>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</si>
  <si>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</si>
  <si>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</si>
  <si>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</si>
  <si>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</si>
  <si>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</si>
  <si>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</si>
  <si>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</si>
  <si>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</si>
  <si>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</si>
  <si>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</si>
  <si>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</si>
  <si>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</si>
  <si>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</si>
  <si>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</si>
  <si>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</si>
  <si>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</si>
  <si>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</si>
  <si>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</si>
  <si>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</si>
  <si>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</si>
  <si>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</si>
  <si>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</si>
  <si>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</si>
  <si>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</si>
  <si>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</si>
  <si>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</si>
  <si>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</si>
  <si>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</si>
  <si>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</si>
  <si>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</si>
  <si>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</si>
  <si>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</si>
  <si>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</si>
  <si>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</si>
  <si>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</si>
  <si>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</si>
  <si>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</si>
  <si>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</si>
  <si>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</si>
  <si>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</si>
  <si>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</si>
  <si>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</si>
  <si>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</si>
  <si>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</si>
  <si>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</si>
  <si>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</si>
  <si>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</si>
  <si>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</si>
  <si>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</si>
  <si>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</si>
  <si>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</si>
  <si>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</si>
  <si>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</si>
  <si>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</si>
  <si>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</si>
  <si>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</si>
  <si>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</si>
  <si>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</si>
  <si>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</si>
  <si>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</si>
  <si>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</si>
  <si>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</si>
  <si>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</si>
  <si>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</si>
  <si>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</si>
  <si>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</si>
  <si>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</si>
  <si>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</si>
  <si>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</si>
  <si>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</si>
  <si>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</si>
  <si>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</si>
  <si>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</si>
  <si>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</si>
  <si>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</si>
  <si>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</si>
  <si>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</si>
  <si>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</si>
  <si>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</si>
  <si>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</si>
  <si>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</si>
  <si>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</si>
  <si>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</si>
  <si>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</si>
  <si>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</si>
  <si>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</si>
  <si>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</si>
  <si>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</si>
  <si>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</si>
  <si>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</si>
  <si>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</si>
  <si>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</si>
  <si>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</si>
  <si>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</si>
  <si>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</si>
  <si>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</si>
  <si>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</si>
  <si>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</si>
  <si>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</si>
  <si>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</si>
  <si>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</si>
  <si>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</si>
  <si>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</si>
  <si>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</si>
  <si>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</si>
  <si>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</si>
  <si>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</si>
  <si>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</si>
  <si>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</si>
  <si>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</si>
  <si>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</si>
  <si>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</si>
  <si>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</si>
  <si>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</si>
  <si>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</si>
  <si>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</si>
  <si>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</si>
  <si>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</si>
  <si>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</si>
  <si>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</si>
  <si>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</si>
  <si>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</si>
  <si>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</si>
  <si>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</si>
  <si>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</si>
  <si>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</si>
  <si>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</si>
  <si>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</si>
  <si>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</si>
  <si>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</si>
  <si>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</si>
  <si>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</si>
  <si>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</si>
  <si>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</si>
  <si>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</si>
  <si>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</si>
  <si>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</si>
  <si>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</si>
  <si>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</si>
  <si>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</si>
  <si>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</si>
  <si>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</si>
  <si>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</si>
  <si>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</si>
  <si>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</si>
  <si>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</si>
  <si>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</si>
  <si>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</si>
  <si>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</si>
  <si>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</si>
  <si>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</si>
  <si>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</si>
  <si>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</si>
  <si>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</si>
  <si>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</si>
  <si>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</si>
  <si>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</si>
  <si>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</si>
  <si>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</si>
  <si>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</si>
  <si>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</si>
  <si>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</si>
  <si>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</si>
  <si>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</si>
  <si>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</si>
  <si>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</si>
  <si>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</si>
  <si>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</si>
  <si>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</si>
  <si>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</si>
  <si>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</si>
  <si>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</si>
  <si>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</si>
  <si>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</si>
  <si>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</si>
  <si>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</si>
  <si>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</si>
  <si>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</si>
  <si>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</si>
  <si>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</si>
  <si>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</si>
  <si>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</si>
  <si>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</si>
  <si>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</si>
  <si>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</si>
  <si>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</si>
  <si>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</si>
  <si>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</si>
  <si>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</si>
  <si>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</si>
  <si>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</si>
  <si>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</si>
  <si>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</si>
  <si>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</si>
  <si>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</si>
  <si>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</si>
  <si>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</si>
  <si>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</si>
  <si>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</si>
  <si>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</si>
  <si>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</si>
  <si>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</si>
  <si>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</si>
  <si>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</si>
  <si>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</si>
  <si>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</si>
  <si>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</si>
  <si>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</si>
  <si>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</si>
  <si>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</si>
  <si>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</si>
  <si>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</si>
  <si>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</si>
  <si>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</si>
  <si>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</si>
  <si>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</si>
  <si>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</si>
  <si>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</si>
  <si>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</si>
  <si>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</si>
  <si>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</si>
  <si>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</si>
  <si>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</si>
  <si>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</si>
  <si>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</si>
  <si>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</si>
  <si>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</si>
  <si>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</si>
  <si>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</si>
  <si>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</si>
  <si>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</si>
  <si>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</si>
  <si>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</si>
  <si>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</si>
  <si>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</si>
  <si>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</si>
  <si>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</si>
  <si>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</si>
  <si>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</si>
  <si>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</si>
  <si>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</si>
  <si>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</si>
  <si>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</si>
  <si>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</si>
  <si>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</si>
  <si>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</si>
  <si>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</si>
  <si>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</si>
  <si>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</si>
  <si>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</si>
  <si>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</si>
  <si>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</si>
  <si>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</si>
  <si>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</si>
  <si>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</si>
  <si>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</si>
  <si>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</si>
  <si>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</si>
  <si>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</si>
  <si>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</si>
  <si>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</si>
  <si>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</si>
  <si>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</si>
  <si>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</si>
  <si>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</si>
  <si>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</si>
  <si>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</si>
  <si>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</si>
  <si>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</si>
  <si>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</si>
  <si>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</si>
  <si>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</si>
  <si>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</si>
  <si>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</si>
  <si>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</si>
  <si>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</si>
  <si>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</si>
  <si>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</si>
  <si>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</si>
  <si>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</si>
  <si>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</si>
  <si>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</si>
  <si>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</si>
  <si>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</si>
  <si>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</si>
  <si>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</si>
  <si>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</si>
  <si>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</si>
  <si>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</si>
  <si>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</si>
  <si>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</si>
  <si>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</si>
  <si>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</si>
  <si>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</si>
  <si>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</si>
  <si>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</si>
  <si>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</si>
  <si>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</si>
  <si>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</si>
  <si>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</si>
  <si>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</si>
  <si>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</si>
  <si>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</si>
  <si>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</si>
  <si>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</si>
  <si>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</si>
  <si>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</si>
  <si>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</si>
  <si>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</si>
  <si>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</si>
  <si>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</si>
  <si>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</si>
  <si>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</si>
  <si>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</si>
  <si>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</si>
  <si>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</si>
  <si>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</si>
  <si>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</si>
  <si>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</si>
  <si>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</si>
  <si>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</si>
  <si>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</si>
  <si>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</si>
  <si>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</si>
  <si>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</si>
  <si>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</si>
  <si>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</si>
  <si>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</si>
  <si>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</si>
  <si>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</si>
  <si>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</si>
  <si>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</si>
  <si>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</si>
  <si>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</si>
  <si>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</si>
  <si>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</si>
  <si>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</si>
  <si>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</si>
  <si>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</si>
  <si>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</si>
  <si>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</si>
  <si>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</si>
  <si>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</si>
  <si>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</si>
  <si>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</si>
  <si>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</si>
  <si>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</si>
  <si>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</si>
  <si>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</si>
  <si>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</si>
  <si>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</si>
  <si>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</si>
  <si>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</si>
  <si>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</si>
  <si>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</si>
  <si>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</si>
  <si>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</si>
  <si>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</si>
  <si>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</si>
  <si>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</si>
  <si>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</si>
  <si>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</si>
  <si>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</si>
  <si>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</si>
  <si>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</si>
  <si>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</si>
  <si>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</si>
  <si>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</si>
  <si>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</si>
  <si>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</si>
  <si>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</si>
  <si>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</si>
  <si>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</si>
  <si>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</si>
  <si>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</si>
  <si>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</si>
  <si>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</si>
  <si>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</si>
  <si>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</si>
  <si>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</si>
  <si>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</si>
  <si>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</si>
  <si>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</si>
  <si>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</si>
  <si>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</si>
  <si>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</si>
  <si>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</si>
  <si>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</si>
  <si>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</si>
  <si>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</si>
  <si>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</si>
  <si>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</si>
  <si>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</si>
  <si>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</si>
  <si>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</si>
  <si>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</si>
  <si>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</si>
  <si>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</si>
  <si>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</si>
  <si>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</si>
  <si>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</si>
  <si>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</si>
  <si>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</si>
  <si>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</si>
  <si>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</si>
  <si>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</si>
  <si>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</si>
  <si>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</si>
  <si>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</si>
  <si>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</si>
  <si>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</si>
  <si>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</si>
  <si>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</si>
  <si>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</si>
  <si>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</si>
  <si>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</si>
  <si>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</si>
  <si>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</si>
  <si>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</si>
  <si>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</si>
  <si>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</si>
  <si>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</si>
  <si>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</si>
  <si>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</si>
  <si>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</si>
  <si>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</si>
  <si>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</si>
  <si>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</si>
  <si>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</si>
  <si>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</si>
  <si>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</si>
  <si>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</si>
  <si>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</si>
  <si>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</si>
  <si>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</si>
  <si>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</si>
  <si>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</si>
  <si>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</si>
  <si>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</si>
  <si>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</si>
  <si>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</si>
  <si>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</si>
  <si>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</si>
  <si>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</si>
  <si>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</si>
  <si>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</si>
  <si>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</si>
  <si>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</si>
  <si>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</si>
  <si>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</si>
  <si>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</si>
  <si>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</si>
  <si>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</si>
  <si>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</si>
  <si>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</si>
  <si>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</si>
  <si>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</si>
  <si>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</si>
  <si>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</si>
  <si>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</si>
  <si>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</si>
  <si>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</si>
  <si>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</si>
  <si>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</si>
  <si>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</si>
  <si>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</si>
  <si>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</si>
  <si>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</si>
  <si>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</si>
  <si>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</si>
  <si>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</si>
  <si>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</si>
  <si>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</si>
  <si>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</si>
  <si>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</si>
  <si>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</si>
  <si>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</si>
  <si>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</si>
  <si>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</si>
  <si>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</si>
  <si>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</si>
  <si>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</si>
  <si>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</si>
  <si>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</si>
  <si>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</si>
  <si>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</si>
  <si>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</si>
  <si>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</si>
  <si>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</si>
  <si>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</si>
  <si>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</si>
  <si>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</si>
  <si>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</si>
  <si>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</si>
  <si>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</si>
  <si>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</si>
  <si>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</si>
  <si>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</si>
  <si>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</si>
  <si>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</si>
  <si>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</si>
  <si>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</si>
  <si>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</si>
  <si>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</si>
  <si>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</si>
  <si>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</si>
  <si>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</si>
  <si>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</si>
  <si>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</si>
  <si>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</si>
  <si>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</si>
  <si>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</si>
  <si>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</si>
  <si>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</si>
  <si>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</si>
  <si>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</si>
  <si>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</si>
  <si>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</si>
  <si>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</si>
  <si>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</si>
  <si>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</si>
  <si>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</si>
  <si>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</si>
  <si>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</si>
  <si>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</si>
  <si>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</si>
  <si>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</si>
  <si>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</si>
  <si>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</si>
  <si>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</si>
  <si>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</si>
  <si>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</si>
  <si>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</si>
  <si>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</si>
  <si>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</si>
  <si>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</si>
  <si>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</si>
  <si>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</si>
  <si>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</si>
  <si>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</si>
  <si>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</si>
  <si>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</si>
  <si>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</si>
  <si>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</si>
  <si>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</si>
  <si>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</si>
  <si>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</si>
  <si>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</si>
  <si>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</si>
  <si>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</si>
  <si>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</si>
  <si>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</si>
  <si>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</si>
  <si>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</si>
  <si>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</si>
  <si>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</si>
  <si>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</si>
  <si>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</si>
  <si>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</si>
  <si>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</si>
  <si>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</si>
  <si>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</si>
  <si>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</si>
  <si>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</si>
  <si>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</si>
  <si>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</si>
  <si>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</si>
  <si>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</si>
  <si>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</si>
  <si>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</si>
  <si>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</si>
  <si>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</si>
  <si>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</si>
  <si>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</si>
  <si>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</si>
  <si>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</si>
  <si>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</si>
  <si>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</si>
  <si>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</si>
  <si>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</si>
  <si>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</si>
  <si>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</si>
  <si>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</si>
  <si>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</si>
  <si>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</si>
  <si>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</si>
  <si>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</si>
  <si>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</si>
  <si>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</si>
  <si>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</si>
  <si>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</si>
  <si>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</si>
  <si>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</si>
  <si>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</si>
  <si>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</si>
  <si>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</si>
  <si>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</si>
  <si>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</si>
  <si>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</si>
  <si>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</si>
  <si>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</si>
  <si>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</si>
  <si>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</si>
  <si>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</si>
  <si>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</si>
  <si>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</si>
  <si>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</si>
  <si>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</si>
  <si>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</si>
  <si>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</si>
  <si>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</si>
  <si>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</si>
  <si>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</si>
  <si>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</si>
  <si>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</si>
  <si>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</si>
  <si>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</si>
  <si>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</si>
  <si>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</si>
  <si>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</si>
  <si>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</si>
  <si>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</si>
  <si>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</si>
  <si>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</si>
  <si>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</si>
  <si>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</si>
  <si>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</si>
  <si>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</si>
  <si>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</si>
  <si>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</si>
  <si>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</si>
  <si>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</si>
  <si>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</si>
  <si>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</si>
  <si>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</si>
  <si>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</si>
  <si>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</si>
  <si>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</si>
  <si>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</si>
  <si>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</si>
  <si>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</si>
  <si>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</si>
  <si>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</si>
  <si>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</si>
  <si>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</si>
  <si>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</si>
  <si>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</si>
  <si>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</si>
  <si>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</si>
  <si>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</si>
  <si>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</si>
  <si>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</si>
  <si>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</si>
  <si>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</si>
  <si>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</si>
  <si>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</si>
  <si>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</si>
  <si>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</si>
  <si>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</si>
  <si>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</si>
  <si>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</si>
  <si>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</si>
  <si>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</si>
  <si>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</si>
  <si>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</si>
  <si>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</si>
  <si>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</si>
  <si>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</si>
  <si>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</si>
  <si>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</si>
  <si>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</si>
  <si>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</si>
  <si>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</si>
  <si>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</si>
  <si>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</si>
  <si>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</si>
  <si>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</si>
  <si>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</si>
  <si>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</si>
  <si>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</si>
  <si>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</si>
  <si>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</si>
  <si>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</si>
  <si>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</si>
  <si>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</si>
  <si>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</si>
  <si>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</si>
  <si>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</si>
  <si>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</si>
  <si>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</si>
  <si>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</si>
  <si>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</si>
  <si>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</si>
  <si>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</si>
  <si>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</si>
  <si>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</si>
  <si>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</si>
  <si>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</si>
  <si>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</si>
  <si>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</si>
  <si>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</si>
  <si>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</si>
  <si>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</si>
  <si>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</si>
  <si>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</si>
  <si>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</si>
  <si>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</si>
  <si>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</si>
  <si>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</si>
  <si>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</si>
  <si>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</si>
  <si>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</si>
  <si>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</si>
  <si>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</si>
  <si>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</si>
  <si>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</si>
  <si>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</si>
  <si>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</si>
  <si>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</si>
  <si>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</si>
  <si>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</si>
  <si>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</si>
  <si>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</si>
  <si>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</si>
  <si>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</si>
  <si>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</si>
  <si>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</si>
  <si>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</si>
  <si>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</si>
  <si>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</si>
  <si>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</si>
  <si>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</si>
  <si>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</si>
  <si>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</si>
  <si>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</si>
  <si>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</si>
  <si>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</si>
  <si>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</si>
  <si>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</si>
  <si>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</si>
  <si>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</si>
  <si>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</si>
  <si>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</si>
  <si>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</si>
  <si>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</si>
  <si>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</si>
  <si>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</si>
  <si>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</si>
  <si>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</si>
  <si>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</si>
  <si>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</si>
  <si>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</si>
  <si>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</si>
  <si>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</si>
  <si>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</si>
  <si>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</si>
  <si>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</si>
  <si>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</si>
  <si>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</si>
  <si>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</si>
  <si>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</si>
  <si>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</si>
  <si>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</si>
  <si>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</si>
  <si>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</si>
  <si>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</si>
  <si>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</si>
  <si>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</si>
  <si>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</si>
  <si>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</si>
  <si>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</si>
  <si>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</si>
  <si>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</si>
  <si>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</si>
  <si>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</si>
  <si>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</si>
  <si>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</si>
  <si>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</si>
  <si>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</si>
  <si>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</si>
  <si>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</si>
  <si>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</si>
  <si>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</si>
  <si>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</si>
  <si>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</si>
  <si>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</si>
  <si>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</si>
  <si>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</si>
  <si>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</si>
  <si>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</si>
  <si>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</si>
  <si>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</si>
  <si>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</si>
  <si>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</si>
  <si>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</si>
  <si>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</si>
  <si>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</si>
  <si>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</si>
  <si>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</si>
  <si>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</si>
  <si>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</si>
  <si>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</si>
  <si>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</si>
  <si>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</si>
  <si>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</si>
  <si>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</si>
  <si>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</si>
  <si>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</si>
  <si>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</si>
  <si>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</si>
  <si>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</si>
  <si>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</si>
  <si>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</si>
  <si>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</si>
  <si>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</si>
  <si>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</si>
  <si>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</si>
  <si>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</si>
  <si>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</si>
  <si>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</si>
  <si>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</si>
  <si>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</si>
  <si>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</si>
  <si>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</si>
  <si>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</si>
  <si>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</si>
  <si>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</si>
  <si>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</si>
  <si>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</si>
  <si>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</si>
  <si>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</si>
  <si>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</si>
  <si>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</si>
  <si>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</si>
  <si>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</si>
  <si>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</si>
  <si>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</si>
  <si>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</si>
  <si>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</si>
  <si>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</si>
  <si>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</si>
  <si>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</si>
  <si>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</si>
  <si>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</si>
  <si>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</si>
  <si>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</si>
  <si>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</si>
  <si>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</si>
  <si>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</si>
  <si>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</si>
  <si>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</si>
  <si>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</si>
  <si>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</si>
  <si>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</si>
  <si>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</si>
  <si>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</si>
  <si>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</si>
  <si>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</si>
  <si>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</si>
  <si>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</si>
  <si>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</si>
  <si>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</si>
  <si>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</si>
  <si>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</si>
  <si>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</si>
  <si>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</si>
  <si>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</si>
  <si>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</si>
  <si>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</si>
  <si>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</si>
  <si>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</si>
  <si>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</si>
  <si>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</si>
  <si>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</si>
  <si>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</si>
  <si>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</si>
  <si>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</si>
  <si>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</si>
  <si>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</si>
  <si>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</si>
  <si>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</si>
  <si>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</si>
  <si>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</si>
  <si>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</si>
  <si>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</si>
  <si>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</si>
  <si>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</si>
  <si>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</si>
  <si>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</si>
  <si>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</si>
  <si>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</si>
  <si>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</si>
  <si>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</si>
  <si>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</si>
  <si>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</si>
  <si>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</si>
  <si>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</si>
  <si>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</si>
  <si>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</si>
  <si>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</si>
  <si>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</si>
  <si>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</si>
  <si>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</si>
  <si>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</si>
  <si>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</si>
  <si>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</si>
  <si>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</si>
  <si>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</si>
  <si>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</si>
  <si>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</si>
  <si>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</si>
  <si>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</si>
  <si>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</si>
  <si>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</si>
  <si>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</si>
  <si>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</si>
  <si>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</si>
  <si>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</si>
  <si>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</si>
  <si>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</si>
  <si>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</si>
  <si>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</si>
  <si>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</si>
  <si>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</si>
  <si>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</si>
  <si>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</si>
  <si>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</si>
  <si>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</si>
  <si>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</si>
  <si>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</si>
  <si>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</si>
  <si>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</si>
  <si>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</si>
  <si>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</si>
  <si>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</si>
  <si>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</si>
  <si>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</si>
  <si>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</si>
  <si>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</si>
  <si>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</si>
  <si>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</si>
  <si>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</si>
  <si>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</si>
  <si>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</si>
  <si>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</si>
  <si>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</si>
  <si>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</si>
  <si>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</si>
  <si>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</si>
  <si>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</si>
  <si>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</si>
  <si>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</si>
  <si>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</si>
  <si>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</si>
  <si>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</si>
  <si>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</si>
  <si>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</si>
  <si>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</si>
  <si>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</si>
  <si>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</si>
  <si>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</si>
  <si>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</si>
  <si>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</si>
  <si>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</si>
  <si>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</si>
  <si>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</si>
  <si>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</si>
  <si>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</si>
  <si>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</si>
  <si>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</si>
  <si>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</si>
  <si>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</si>
  <si>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</si>
  <si>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</si>
  <si>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</si>
  <si>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</si>
  <si>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</si>
  <si>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</si>
  <si>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</si>
  <si>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</si>
  <si>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</si>
  <si>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</si>
  <si>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</si>
  <si>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</si>
  <si>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</si>
  <si>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</si>
  <si>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</si>
  <si>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</si>
  <si>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</si>
  <si>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</si>
  <si>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</si>
  <si>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</si>
  <si>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</si>
  <si>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</si>
  <si>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</si>
  <si>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</si>
  <si>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</si>
  <si>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</si>
  <si>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</si>
  <si>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</si>
  <si>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</si>
  <si>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</si>
  <si>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</si>
  <si>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</si>
  <si>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</si>
  <si>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</si>
  <si>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</si>
  <si>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</si>
  <si>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</si>
  <si>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</si>
  <si>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</si>
  <si>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</si>
  <si>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</si>
  <si>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</si>
  <si>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</si>
  <si>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</si>
  <si>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</si>
  <si>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</si>
  <si>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</si>
  <si>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</si>
  <si>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</si>
  <si>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</si>
  <si>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</si>
  <si>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</si>
  <si>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</si>
  <si>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</si>
  <si>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</si>
  <si>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</si>
  <si>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</si>
  <si>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</si>
  <si>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</si>
  <si>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</si>
  <si>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</si>
  <si>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</si>
  <si>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</si>
  <si>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</si>
  <si>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</si>
  <si>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</si>
  <si>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</si>
  <si>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</si>
  <si>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</si>
  <si>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</si>
  <si>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</si>
  <si>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</si>
  <si>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</si>
  <si>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</si>
  <si>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</si>
  <si>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</si>
  <si>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</si>
  <si>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</si>
  <si>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</si>
  <si>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</si>
  <si>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</si>
  <si>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</si>
  <si>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</si>
  <si>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</si>
  <si>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</si>
  <si>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</si>
  <si>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</si>
  <si>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</si>
  <si>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</si>
  <si>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</si>
  <si>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</si>
  <si>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</si>
  <si>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</si>
  <si>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</si>
  <si>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</si>
  <si>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</si>
  <si>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</si>
  <si>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</si>
  <si>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</si>
  <si>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</si>
  <si>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</si>
  <si>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</si>
  <si>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</si>
  <si>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</si>
  <si>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</si>
  <si>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</si>
  <si>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</si>
  <si>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</si>
  <si>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</si>
  <si>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</si>
  <si>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</si>
  <si>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</si>
  <si>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</si>
  <si>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</si>
  <si>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</si>
  <si>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</si>
  <si>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</si>
  <si>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</si>
  <si>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</si>
  <si>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</si>
  <si>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</si>
  <si>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</si>
  <si>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</si>
  <si>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</si>
  <si>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</si>
  <si>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</si>
  <si>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</si>
  <si>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</si>
  <si>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</si>
  <si>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</si>
  <si>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</si>
  <si>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</si>
  <si>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</si>
  <si>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</si>
  <si>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</si>
  <si>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</si>
  <si>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</si>
  <si>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</si>
  <si>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</si>
  <si>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</si>
  <si>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</si>
  <si>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</si>
  <si>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</si>
  <si>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</si>
  <si>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</si>
  <si>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</si>
  <si>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</si>
  <si>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</si>
  <si>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</si>
  <si>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</si>
  <si>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</si>
  <si>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</si>
  <si>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</si>
  <si>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</si>
  <si>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</si>
  <si>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</si>
  <si>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</si>
  <si>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</si>
  <si>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</si>
  <si>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</si>
  <si>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</si>
  <si>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</si>
  <si>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</si>
  <si>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</si>
  <si>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</si>
  <si>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</si>
  <si>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</si>
  <si>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</si>
  <si>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</si>
  <si>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</si>
  <si>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</si>
  <si>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</si>
  <si>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</si>
  <si>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</si>
  <si>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</si>
  <si>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</si>
  <si>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</si>
  <si>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</si>
  <si>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</si>
  <si>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</si>
  <si>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</si>
  <si>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</si>
  <si>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</si>
  <si>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</si>
  <si>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</si>
  <si>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</si>
  <si>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</si>
  <si>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</si>
  <si>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</si>
  <si>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</si>
  <si>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</si>
  <si>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</si>
  <si>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</si>
  <si>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</si>
  <si>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</si>
  <si>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</si>
  <si>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</si>
  <si>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</si>
  <si>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</si>
  <si>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</si>
  <si>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</si>
  <si>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</si>
  <si>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</si>
  <si>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</si>
  <si>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</si>
  <si>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</si>
  <si>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</si>
  <si>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</si>
  <si>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</si>
  <si>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</si>
  <si>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</si>
  <si>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</si>
  <si>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</si>
  <si>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</si>
  <si>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</si>
  <si>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</si>
  <si>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</si>
  <si>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</si>
  <si>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</si>
  <si>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</si>
  <si>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</si>
  <si>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</si>
  <si>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</si>
  <si>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</si>
  <si>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</si>
  <si>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</si>
  <si>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</si>
  <si>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</si>
  <si>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</si>
  <si>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</si>
  <si>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</si>
  <si>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</si>
  <si>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</si>
  <si>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</si>
  <si>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</si>
  <si>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</si>
  <si>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</si>
  <si>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</si>
  <si>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</si>
  <si>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</si>
  <si>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</si>
  <si>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</si>
  <si>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</si>
  <si>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</si>
  <si>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</si>
  <si>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</si>
  <si>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</si>
  <si>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</si>
  <si>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</si>
  <si>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</si>
  <si>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</si>
  <si>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</si>
  <si>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</si>
  <si>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</si>
  <si>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</si>
  <si>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</si>
  <si>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</si>
  <si>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</si>
  <si>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</si>
  <si>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</si>
  <si>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</si>
  <si>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</si>
  <si>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</si>
  <si>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</si>
  <si>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</si>
  <si>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</si>
  <si>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</si>
  <si>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</si>
  <si>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</si>
  <si>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</si>
  <si>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</si>
  <si>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</si>
  <si>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</si>
  <si>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</si>
  <si>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</si>
  <si>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</si>
  <si>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</si>
  <si>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</si>
  <si>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</si>
  <si>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</si>
  <si>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</si>
  <si>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</si>
  <si>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</si>
  <si>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</si>
  <si>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</si>
  <si>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</si>
  <si>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</si>
  <si>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</si>
  <si>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</si>
  <si>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</si>
  <si>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</si>
  <si>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</si>
  <si>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</si>
  <si>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</si>
  <si>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</si>
  <si>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</si>
  <si>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</si>
  <si>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</si>
  <si>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</si>
  <si>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</si>
  <si>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</si>
  <si>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</si>
  <si>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</si>
  <si>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</si>
  <si>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</si>
  <si>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</si>
  <si>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</si>
  <si>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</si>
  <si>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</si>
  <si>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</si>
  <si>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</si>
  <si>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</si>
  <si>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</si>
  <si>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</si>
  <si>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</si>
  <si>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</si>
  <si>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</si>
  <si>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</si>
  <si>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</si>
  <si>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</si>
  <si>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</si>
  <si>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</si>
  <si>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</si>
  <si>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</si>
  <si>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</si>
  <si>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</si>
  <si>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</si>
  <si>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</si>
  <si>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</si>
  <si>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</si>
  <si>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</si>
  <si>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</si>
  <si>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</si>
  <si>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</si>
  <si>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</si>
  <si>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</si>
  <si>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</si>
  <si>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</si>
  <si>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</si>
  <si>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</si>
  <si>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</si>
  <si>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</si>
  <si>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</si>
  <si>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</si>
  <si>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</si>
  <si>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</si>
  <si>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</si>
  <si>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</si>
  <si>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</si>
  <si>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</si>
  <si>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</si>
  <si>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</si>
  <si>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</si>
  <si>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</si>
  <si>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</si>
  <si>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</si>
  <si>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</si>
  <si>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</si>
  <si>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</si>
  <si>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</si>
  <si>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</si>
  <si>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</si>
  <si>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</si>
  <si>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</si>
  <si>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</si>
  <si>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</si>
  <si>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</si>
  <si>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</si>
  <si>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</si>
  <si>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</si>
  <si>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</si>
  <si>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</si>
  <si>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</si>
  <si>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</si>
  <si>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</si>
  <si>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</si>
  <si>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</si>
  <si>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</si>
  <si>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</si>
  <si>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</si>
  <si>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</si>
  <si>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</si>
  <si>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</si>
  <si>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</si>
  <si>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</si>
  <si>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</si>
  <si>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</si>
  <si>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</si>
  <si>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</si>
  <si>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</si>
  <si>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</si>
  <si>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</si>
  <si>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</si>
  <si>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</si>
  <si>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</si>
  <si>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</si>
  <si>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</si>
  <si>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</si>
  <si>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</si>
  <si>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</si>
  <si>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</si>
  <si>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</si>
  <si>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</si>
  <si>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</si>
  <si>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</si>
  <si>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</si>
  <si>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</si>
  <si>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</si>
  <si>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</si>
  <si>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</si>
  <si>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</si>
  <si>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</si>
  <si>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</si>
  <si>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</si>
  <si>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</si>
  <si>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</si>
  <si>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</si>
  <si>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</si>
  <si>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</si>
  <si>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</si>
  <si>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</si>
  <si>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</si>
  <si>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</si>
  <si>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</si>
  <si>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</si>
  <si>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</si>
  <si>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</si>
  <si>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</si>
  <si>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</si>
  <si>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</si>
  <si>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</si>
  <si>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</si>
  <si>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</si>
  <si>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</si>
  <si>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</si>
  <si>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</si>
  <si>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</si>
  <si>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</si>
  <si>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</si>
  <si>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</si>
  <si>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</si>
  <si>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</si>
  <si>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</si>
  <si>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</si>
  <si>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</si>
  <si>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</si>
  <si>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</si>
  <si>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</si>
  <si>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</si>
  <si>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</si>
  <si>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</si>
  <si>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</si>
  <si>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</si>
  <si>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</si>
  <si>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</si>
  <si>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</si>
  <si>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</si>
  <si>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</si>
  <si>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</si>
  <si>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</si>
  <si>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</si>
  <si>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</si>
  <si>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</si>
  <si>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</si>
  <si>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</si>
  <si>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</si>
  <si>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</si>
  <si>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</si>
  <si>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</si>
  <si>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</si>
  <si>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</si>
  <si>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</si>
  <si>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</si>
  <si>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</si>
  <si>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</si>
  <si>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</si>
  <si>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</si>
  <si>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</si>
  <si>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</si>
  <si>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</si>
  <si>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</si>
  <si>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</si>
  <si>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</si>
  <si>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</si>
  <si>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</si>
  <si>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</si>
  <si>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</si>
  <si>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</si>
  <si>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</si>
  <si>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</si>
  <si>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</si>
  <si>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</si>
  <si>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</si>
  <si>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</si>
  <si>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</si>
  <si>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</si>
  <si>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</si>
  <si>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</si>
  <si>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</si>
  <si>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</si>
  <si>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</si>
  <si>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</si>
  <si>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</si>
  <si>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</si>
  <si>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</si>
  <si>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</si>
  <si>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</si>
  <si>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</si>
  <si>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</si>
  <si>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</si>
  <si>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</si>
  <si>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</si>
  <si>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</si>
  <si>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</si>
  <si>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</si>
  <si>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</si>
  <si>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</si>
  <si>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</si>
  <si>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</si>
  <si>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</si>
  <si>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</si>
  <si>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</si>
  <si>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</si>
  <si>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</si>
  <si>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</si>
  <si>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</si>
  <si>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</si>
  <si>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</si>
  <si>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</si>
  <si>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</si>
  <si>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</si>
  <si>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</si>
  <si>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</si>
  <si>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</si>
  <si>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</si>
  <si>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</si>
  <si>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</si>
  <si>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</si>
  <si>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</si>
  <si>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</si>
  <si>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</si>
  <si>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</si>
  <si>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</si>
  <si>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</si>
  <si>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</si>
  <si>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</si>
  <si>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</si>
  <si>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</si>
  <si>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</si>
  <si>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</si>
  <si>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</si>
  <si>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</si>
  <si>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</si>
  <si>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</si>
  <si>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</si>
  <si>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</si>
  <si>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</si>
  <si>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</si>
  <si>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</si>
  <si>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</si>
  <si>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</si>
  <si>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</si>
  <si>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</si>
  <si>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</si>
  <si>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</si>
  <si>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</si>
  <si>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</si>
  <si>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</si>
  <si>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</si>
  <si>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</si>
  <si>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</si>
  <si>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</si>
  <si>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</si>
  <si>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</si>
  <si>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</si>
  <si>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</si>
  <si>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</si>
  <si>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</si>
  <si>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</si>
  <si>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</si>
  <si>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</si>
  <si>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</si>
  <si>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</si>
  <si>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</si>
  <si>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</si>
  <si>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</si>
  <si>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</si>
  <si>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</si>
  <si>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</si>
  <si>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</si>
  <si>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</si>
  <si>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</si>
  <si>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</si>
  <si>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</si>
  <si>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</si>
  <si>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</si>
  <si>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</si>
  <si>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</si>
  <si>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</si>
  <si>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</si>
  <si>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</si>
  <si>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</si>
  <si>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</si>
  <si>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</si>
  <si>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</si>
  <si>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</si>
  <si>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</si>
  <si>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</si>
  <si>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</si>
  <si>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</si>
  <si>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</si>
  <si>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</si>
  <si>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</si>
  <si>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</si>
  <si>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</si>
  <si>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</si>
  <si>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</si>
  <si>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</si>
  <si>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</si>
  <si>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</si>
  <si>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</si>
  <si>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</si>
  <si>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</si>
  <si>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</si>
  <si>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</si>
  <si>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</si>
  <si>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</si>
  <si>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</si>
  <si>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</si>
  <si>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</si>
  <si>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</si>
  <si>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</si>
  <si>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</si>
  <si>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</si>
  <si>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</si>
  <si>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</si>
  <si>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</si>
  <si>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</si>
  <si>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</si>
  <si>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</si>
  <si>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</si>
  <si>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</si>
  <si>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</si>
  <si>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</si>
  <si>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</si>
  <si>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</si>
  <si>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</si>
  <si>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</si>
  <si>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</si>
  <si>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</si>
  <si>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</si>
  <si>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</si>
  <si>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</si>
  <si>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</si>
  <si>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</si>
  <si>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</si>
  <si>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</si>
  <si>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</si>
  <si>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</si>
  <si>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</si>
  <si>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</si>
  <si>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</si>
  <si>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</si>
  <si>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</si>
  <si>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</si>
  <si>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</si>
  <si>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</si>
  <si>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</si>
  <si>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</si>
  <si>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</si>
  <si>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</si>
  <si>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</si>
  <si>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</si>
  <si>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</si>
  <si>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</si>
  <si>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</si>
  <si>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</si>
  <si>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</si>
  <si>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</si>
  <si>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</si>
  <si>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</si>
  <si>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</si>
  <si>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</si>
  <si>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</si>
  <si>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</si>
  <si>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</si>
  <si>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</si>
  <si>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</si>
  <si>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</si>
  <si>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</si>
  <si>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</si>
  <si>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</si>
  <si>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</si>
  <si>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</si>
  <si>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</si>
  <si>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</si>
  <si>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</si>
  <si>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</si>
  <si>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</si>
  <si>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</si>
  <si>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</si>
  <si>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</si>
  <si>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</si>
  <si>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</si>
  <si>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</si>
  <si>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</si>
  <si>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</si>
  <si>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</si>
  <si>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</si>
  <si>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</si>
  <si>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</si>
  <si>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</si>
  <si>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</si>
  <si>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</si>
  <si>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</si>
  <si>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</si>
  <si>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</si>
  <si>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</si>
  <si>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</si>
  <si>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</si>
  <si>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</si>
  <si>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</si>
  <si>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</si>
  <si>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</si>
  <si>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</si>
  <si>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</si>
  <si>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</si>
  <si>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</si>
  <si>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</si>
  <si>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</si>
  <si>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</si>
  <si>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</si>
  <si>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</si>
  <si>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</si>
  <si>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</si>
  <si>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</si>
  <si>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</si>
  <si>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</si>
  <si>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</si>
  <si>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</si>
  <si>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</si>
  <si>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</si>
  <si>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</si>
  <si>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</si>
  <si>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</si>
  <si>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</si>
  <si>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</si>
  <si>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</si>
  <si>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</si>
  <si>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</si>
  <si>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</si>
  <si>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</si>
  <si>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</si>
  <si>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</si>
  <si>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</si>
  <si>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</si>
  <si>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</si>
  <si>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</si>
  <si>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</si>
  <si>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</si>
  <si>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</si>
  <si>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</si>
  <si>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</si>
  <si>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</si>
  <si>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</si>
  <si>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</si>
  <si>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</si>
  <si>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</si>
  <si>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</si>
  <si>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</si>
  <si>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</si>
  <si>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</si>
  <si>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</si>
  <si>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</si>
  <si>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</si>
  <si>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</si>
  <si>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</si>
  <si>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</si>
  <si>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</si>
  <si>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</si>
  <si>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</si>
  <si>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</si>
  <si>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</si>
  <si>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</si>
  <si>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</si>
  <si>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</si>
  <si>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</si>
  <si>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</si>
  <si>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</si>
  <si>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</si>
  <si>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</si>
  <si>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</si>
  <si>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</si>
  <si>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</si>
  <si>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</si>
  <si>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</si>
  <si>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</si>
  <si>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</si>
  <si>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</si>
  <si>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</si>
  <si>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</si>
  <si>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</si>
  <si>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</si>
  <si>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</si>
  <si>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</si>
  <si>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</si>
  <si>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</si>
  <si>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</si>
  <si>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</si>
  <si>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</si>
  <si>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</si>
  <si>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</si>
  <si>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</si>
  <si>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</si>
  <si>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</si>
  <si>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</si>
  <si>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</si>
  <si>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</si>
  <si>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</si>
  <si>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</si>
  <si>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</si>
  <si>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</si>
  <si>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</si>
  <si>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</si>
  <si>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</si>
  <si>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</si>
  <si>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</si>
  <si>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</si>
  <si>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</si>
  <si>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</si>
  <si>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</si>
  <si>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</si>
  <si>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</si>
  <si>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</si>
  <si>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</si>
  <si>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</si>
  <si>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</si>
  <si>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</si>
  <si>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</si>
  <si>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</si>
  <si>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</si>
  <si>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</si>
  <si>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</si>
  <si>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</si>
  <si>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</si>
  <si>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</si>
  <si>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</si>
  <si>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</si>
  <si>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</si>
  <si>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</si>
  <si>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</si>
  <si>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</si>
  <si>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</si>
  <si>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</si>
  <si>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</si>
  <si>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</si>
  <si>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</si>
  <si>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</si>
  <si>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</si>
  <si>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</si>
  <si>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</si>
  <si>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</si>
  <si>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</si>
  <si>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</si>
  <si>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</si>
  <si>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</si>
  <si>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</si>
  <si>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</si>
  <si>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</si>
  <si>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</si>
  <si>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</si>
  <si>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</si>
  <si>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</si>
  <si>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</si>
  <si>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</si>
  <si>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</si>
  <si>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</si>
  <si>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</si>
  <si>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</si>
  <si>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</si>
  <si>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</si>
  <si>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</si>
  <si>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</si>
  <si>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</si>
  <si>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</si>
  <si>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</si>
  <si>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</si>
  <si>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</si>
  <si>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</si>
  <si>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</si>
  <si>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</si>
  <si>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</si>
  <si>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</si>
  <si>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</si>
  <si>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</si>
  <si>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</si>
  <si>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</si>
  <si>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</si>
  <si>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</si>
  <si>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</si>
  <si>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</si>
  <si>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</si>
  <si>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</si>
  <si>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</si>
  <si>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</si>
  <si>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</si>
  <si>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</si>
  <si>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</si>
  <si>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</si>
  <si>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</si>
  <si>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</si>
  <si>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</si>
  <si>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</si>
  <si>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</si>
  <si>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</si>
  <si>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</si>
  <si>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</si>
  <si>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</si>
  <si>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</si>
  <si>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</si>
  <si>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</si>
  <si>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</si>
  <si>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</si>
  <si>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</si>
  <si>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</si>
  <si>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</si>
  <si>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</si>
  <si>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</si>
  <si>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</si>
  <si>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</si>
  <si>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</si>
  <si>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</si>
  <si>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</si>
  <si>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</si>
  <si>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</si>
  <si>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</si>
  <si>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</si>
  <si>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</si>
  <si>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</si>
  <si>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</si>
  <si>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</si>
  <si>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</si>
  <si>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</si>
  <si>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</si>
  <si>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</si>
  <si>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</si>
  <si>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</si>
  <si>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</si>
  <si>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</si>
  <si>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</si>
  <si>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</si>
  <si>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</si>
  <si>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</si>
  <si>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</si>
  <si>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</si>
  <si>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</si>
  <si>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</si>
  <si>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</si>
  <si>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</si>
  <si>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</si>
  <si>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</si>
  <si>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</si>
  <si>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</si>
  <si>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</si>
  <si>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</si>
  <si>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</si>
  <si>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</si>
  <si>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</si>
  <si>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</si>
  <si>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</si>
  <si>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</si>
  <si>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</si>
  <si>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</si>
  <si>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</si>
  <si>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</si>
  <si>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</si>
  <si>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</si>
  <si>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</si>
  <si>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</si>
  <si>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</si>
  <si>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</si>
  <si>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</si>
  <si>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</si>
  <si>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</si>
  <si>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</si>
  <si>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</si>
  <si>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</si>
  <si>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</si>
  <si>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</si>
  <si>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</si>
  <si>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</si>
  <si>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</si>
  <si>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</si>
  <si>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</si>
  <si>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</si>
  <si>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</si>
  <si>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</si>
  <si>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</si>
  <si>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</si>
  <si>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</si>
  <si>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</si>
  <si>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</si>
  <si>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</si>
  <si>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</si>
  <si>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</si>
  <si>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</si>
  <si>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</si>
  <si>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</si>
  <si>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</si>
  <si>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</si>
  <si>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</si>
  <si>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</si>
  <si>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</si>
  <si>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</si>
  <si>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</si>
  <si>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</si>
  <si>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</si>
  <si>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</si>
  <si>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</si>
  <si>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</si>
  <si>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</si>
  <si>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</si>
  <si>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</si>
  <si>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</si>
  <si>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</si>
  <si>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</si>
  <si>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</si>
  <si>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</si>
  <si>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</si>
  <si>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</si>
  <si>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</si>
  <si>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</si>
  <si>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</si>
  <si>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</si>
  <si>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</si>
  <si>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</si>
  <si>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</si>
  <si>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</si>
  <si>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</si>
  <si>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</si>
  <si>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</si>
  <si>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</si>
  <si>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</si>
  <si>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</si>
  <si>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</si>
  <si>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</si>
  <si>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</si>
  <si>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</si>
  <si>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</si>
  <si>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</si>
  <si>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</si>
  <si>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</si>
  <si>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</si>
  <si>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</si>
  <si>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</si>
  <si>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</si>
  <si>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</si>
  <si>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</si>
  <si>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</si>
  <si>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</si>
  <si>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</si>
  <si>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</si>
  <si>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</si>
  <si>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</si>
  <si>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</si>
  <si>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</si>
  <si>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</si>
  <si>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</si>
  <si>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</si>
  <si>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</si>
  <si>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</si>
  <si>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</si>
  <si>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</si>
  <si>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</si>
  <si>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</si>
  <si>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</si>
  <si>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</si>
  <si>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</si>
  <si>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</si>
  <si>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</si>
  <si>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</si>
  <si>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</si>
  <si>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</si>
  <si>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</si>
  <si>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</si>
  <si>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</si>
  <si>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</si>
  <si>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</si>
  <si>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</si>
  <si>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</si>
  <si>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</si>
  <si>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</si>
  <si>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</si>
  <si>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</si>
  <si>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</si>
  <si>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</si>
  <si>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</si>
  <si>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</si>
  <si>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</si>
  <si>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</si>
  <si>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</si>
  <si>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</si>
  <si>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</si>
  <si>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</si>
  <si>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</si>
  <si>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</si>
  <si>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</si>
  <si>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</si>
  <si>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</si>
  <si>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</si>
  <si>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</si>
  <si>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</si>
  <si>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</si>
  <si>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</si>
  <si>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</si>
  <si>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</si>
  <si>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</si>
  <si>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</si>
  <si>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</si>
  <si>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</si>
  <si>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</si>
  <si>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</si>
  <si>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</si>
  <si>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</si>
  <si>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</si>
  <si>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</si>
  <si>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</si>
  <si>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</si>
  <si>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</si>
  <si>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</si>
  <si>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</si>
  <si>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</si>
  <si>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</si>
  <si>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</si>
  <si>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</si>
  <si>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</si>
  <si>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</si>
  <si>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</si>
  <si>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</si>
  <si>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</si>
  <si>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</si>
  <si>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</si>
  <si>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</si>
  <si>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</si>
  <si>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</si>
  <si>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</si>
  <si>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</si>
  <si>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</si>
  <si>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</si>
  <si>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</si>
  <si>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</si>
  <si>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</si>
  <si>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</si>
  <si>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</si>
  <si>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</si>
  <si>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</si>
  <si>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</si>
  <si>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</si>
  <si>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</si>
  <si>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</si>
  <si>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</si>
  <si>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</si>
  <si>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</si>
  <si>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</si>
  <si>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</si>
  <si>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</si>
  <si>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</si>
  <si>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</si>
  <si>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</si>
  <si>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</si>
  <si>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</si>
  <si>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</si>
  <si>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</si>
  <si>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</si>
  <si>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</si>
  <si>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</si>
  <si>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</si>
  <si>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</si>
  <si>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</si>
  <si>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</si>
  <si>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</si>
  <si>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</si>
  <si>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</si>
  <si>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</si>
  <si>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</si>
  <si>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</si>
  <si>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</si>
  <si>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</si>
  <si>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</si>
  <si>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</si>
  <si>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</si>
  <si>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</si>
  <si>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</si>
  <si>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</si>
  <si>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</si>
  <si>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</si>
  <si>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</si>
  <si>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</si>
  <si>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</si>
  <si>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</si>
  <si>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</si>
  <si>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</si>
  <si>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</si>
  <si>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</si>
  <si>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</si>
  <si>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</si>
  <si>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</si>
  <si>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</si>
  <si>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</si>
  <si>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</si>
  <si>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</si>
  <si>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</si>
  <si>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</si>
  <si>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</si>
  <si>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</si>
  <si>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</si>
  <si>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</si>
  <si>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</si>
  <si>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</si>
  <si>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</si>
  <si>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</si>
  <si>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</si>
  <si>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</si>
  <si>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</si>
  <si>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</si>
  <si>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</si>
  <si>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</si>
  <si>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</si>
  <si>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</si>
  <si>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</si>
  <si>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</si>
  <si>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</si>
  <si>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</si>
  <si>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</si>
  <si>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</si>
  <si>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</si>
  <si>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</si>
  <si>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</si>
  <si>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</si>
  <si>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</si>
  <si>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</si>
  <si>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</si>
  <si>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</si>
  <si>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</si>
  <si>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</si>
  <si>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</si>
  <si>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</si>
  <si>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</si>
  <si>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</si>
  <si>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</si>
  <si>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</si>
  <si>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</si>
  <si>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</si>
  <si>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</si>
  <si>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</si>
  <si>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</si>
  <si>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</si>
  <si>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</si>
  <si>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</si>
  <si>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</si>
  <si>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</si>
  <si>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</si>
  <si>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</si>
  <si>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</si>
  <si>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</si>
  <si>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</si>
  <si>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</si>
  <si>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</si>
  <si>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</si>
  <si>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</si>
  <si>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</si>
  <si>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</si>
  <si>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</si>
  <si>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</si>
  <si>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</si>
  <si>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</si>
  <si>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</si>
  <si>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</si>
  <si>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</si>
  <si>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</si>
  <si>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</si>
  <si>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</si>
  <si>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</si>
  <si>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</si>
  <si>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</si>
  <si>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</si>
  <si>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</si>
  <si>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</si>
  <si>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</si>
  <si>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</si>
  <si>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</si>
  <si>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</si>
  <si>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</si>
  <si>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</si>
  <si>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</si>
  <si>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</si>
  <si>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</si>
  <si>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</si>
  <si>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</si>
  <si>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</si>
  <si>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</si>
  <si>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</si>
  <si>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</si>
  <si>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</si>
  <si>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</si>
  <si>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</si>
  <si>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</si>
  <si>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</si>
  <si>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</si>
  <si>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</si>
  <si>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</si>
  <si>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</si>
  <si>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</si>
  <si>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</si>
  <si>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</si>
  <si>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</si>
  <si>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</si>
  <si>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</si>
  <si>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</si>
  <si>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</si>
  <si>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</si>
  <si>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</si>
  <si>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</si>
  <si>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</si>
  <si>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</si>
  <si>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</si>
  <si>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</si>
  <si>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</si>
  <si>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</si>
  <si>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</si>
  <si>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</si>
  <si>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</si>
  <si>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</si>
  <si>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</si>
  <si>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</si>
  <si>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</si>
  <si>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</si>
  <si>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</si>
  <si>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</si>
  <si>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</si>
  <si>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</si>
  <si>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</si>
  <si>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</si>
  <si>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</si>
  <si>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</si>
  <si>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</si>
  <si>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</si>
  <si>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</si>
  <si>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</si>
  <si>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</si>
  <si>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</si>
  <si>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</si>
  <si>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</si>
  <si>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</si>
  <si>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</si>
  <si>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</si>
  <si>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</si>
  <si>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</si>
  <si>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</si>
  <si>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</si>
  <si>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</si>
  <si>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</si>
  <si>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</si>
  <si>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</si>
  <si>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</si>
  <si>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</si>
  <si>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</si>
  <si>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</si>
  <si>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</si>
  <si>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</si>
  <si>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</si>
  <si>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</si>
  <si>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</si>
  <si>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</si>
  <si>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</si>
  <si>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</si>
  <si>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</si>
  <si>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</si>
  <si>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</si>
  <si>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</si>
  <si>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</si>
  <si>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</si>
  <si>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</si>
  <si>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</si>
  <si>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</si>
  <si>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</si>
  <si>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</si>
  <si>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</si>
  <si>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</si>
  <si>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</si>
  <si>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</si>
  <si>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</si>
  <si>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</si>
  <si>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</si>
  <si>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</si>
  <si>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</si>
  <si>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</si>
  <si>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</si>
  <si>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</si>
  <si>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</si>
  <si>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</si>
  <si>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</si>
  <si>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</si>
  <si>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</si>
  <si>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</si>
  <si>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</si>
  <si>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</si>
  <si>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</si>
  <si>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</si>
  <si>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</si>
  <si>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</si>
  <si>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</si>
  <si>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</si>
  <si>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</si>
  <si>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</si>
  <si>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</si>
  <si>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</si>
  <si>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</si>
  <si>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</si>
  <si>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</si>
  <si>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</si>
  <si>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</si>
  <si>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</si>
  <si>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</si>
  <si>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</si>
  <si>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</si>
  <si>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</si>
  <si>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</si>
  <si>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Ampacet Corporation</t>
  </si>
  <si>
    <t>00-128-7911</t>
  </si>
  <si>
    <t>DUNS</t>
  </si>
  <si>
    <t>660 White Plains Rd., Tarrytown, NY 10591</t>
  </si>
  <si>
    <t>Kevin Harris</t>
  </si>
  <si>
    <t>kevin.harris@ampacet.com</t>
  </si>
  <si>
    <t>914-332-7326</t>
  </si>
  <si>
    <t>Supply Chain Director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</si>
</sst>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kevin.harris@ampacet.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kevin.harris@ampacet.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F60" sqref="F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7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3.75">
      <c r="A13" s="303"/>
      <c r="B13" s="275">
        <v>1</v>
      </c>
      <c r="C13" s="276" t="s">
        <v>1046</v>
      </c>
      <c r="D13" s="277" t="s">
        <v>836</v>
      </c>
      <c r="E13" s="278" t="s">
        <v>813</v>
      </c>
      <c r="F13" s="278"/>
      <c r="G13" s="24"/>
    </row>
    <row r="14" spans="1:7" ht="56.25">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45" customHeight="1">
      <c r="A29" s="303"/>
      <c r="B29" s="316"/>
      <c r="C29" s="310"/>
      <c r="D29" s="313"/>
      <c r="E29" s="301"/>
      <c r="F29" s="280" t="s">
        <v>57</v>
      </c>
      <c r="G29" s="24"/>
    </row>
    <row r="30" spans="1:7" ht="62.4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4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47">
      <c r="A36" s="303"/>
      <c r="B36" s="317"/>
      <c r="C36" s="311"/>
      <c r="D36" s="314"/>
      <c r="E36" s="302"/>
      <c r="F36" s="282" t="s">
        <v>65</v>
      </c>
      <c r="G36" s="24"/>
    </row>
    <row r="37" spans="1:7" ht="157.5">
      <c r="A37" s="303"/>
      <c r="B37" s="281">
        <v>3.01</v>
      </c>
      <c r="C37" s="283" t="s">
        <v>66</v>
      </c>
      <c r="D37" s="277" t="s">
        <v>2155</v>
      </c>
      <c r="E37" s="284" t="s">
        <v>1282</v>
      </c>
      <c r="F37" s="285" t="s">
        <v>1384</v>
      </c>
      <c r="G37" s="24"/>
    </row>
    <row r="38" spans="1:7" ht="146.25">
      <c r="A38" s="303"/>
      <c r="B38" s="281">
        <v>3.02</v>
      </c>
      <c r="C38" s="283" t="s">
        <v>1314</v>
      </c>
      <c r="D38" s="277" t="s">
        <v>2156</v>
      </c>
      <c r="E38" s="284" t="s">
        <v>1329</v>
      </c>
      <c r="F38" s="285" t="s">
        <v>1385</v>
      </c>
      <c r="G38" s="24"/>
    </row>
    <row r="39" spans="1:7" ht="112.5">
      <c r="A39" s="303"/>
      <c r="B39" s="286">
        <v>4</v>
      </c>
      <c r="C39" s="287" t="s">
        <v>1480</v>
      </c>
      <c r="D39" s="277" t="s">
        <v>2157</v>
      </c>
      <c r="E39" s="276" t="s">
        <v>2104</v>
      </c>
      <c r="F39" s="276" t="s">
        <v>1481</v>
      </c>
      <c r="G39" s="24"/>
    </row>
    <row r="40" spans="1:7" ht="67.5">
      <c r="A40" s="303"/>
      <c r="B40" s="281">
        <v>4.01</v>
      </c>
      <c r="C40" s="287" t="s">
        <v>1480</v>
      </c>
      <c r="D40" s="277" t="s">
        <v>2159</v>
      </c>
      <c r="E40" s="276" t="s">
        <v>2116</v>
      </c>
      <c r="F40" s="276" t="s">
        <v>2120</v>
      </c>
      <c r="G40" s="24"/>
    </row>
    <row r="41" spans="1:7" ht="67.5">
      <c r="A41" s="303"/>
      <c r="B41" s="281" t="s">
        <v>2146</v>
      </c>
      <c r="C41" s="287" t="s">
        <v>1480</v>
      </c>
      <c r="D41" s="277" t="s">
        <v>2158</v>
      </c>
      <c r="E41" s="276" t="s">
        <v>2149</v>
      </c>
      <c r="F41" s="276" t="s">
        <v>2147</v>
      </c>
      <c r="G41" s="24"/>
    </row>
    <row r="42" spans="1:7" ht="67.5">
      <c r="A42" s="303"/>
      <c r="B42" s="281" t="s">
        <v>2173</v>
      </c>
      <c r="C42" s="287" t="s">
        <v>1480</v>
      </c>
      <c r="D42" s="277" t="s">
        <v>2178</v>
      </c>
      <c r="E42" s="276" t="s">
        <v>2148</v>
      </c>
      <c r="F42" s="276" t="s">
        <v>2174</v>
      </c>
      <c r="G42" s="24"/>
    </row>
    <row r="43" spans="1:7" ht="191.25">
      <c r="A43" s="303"/>
      <c r="B43" s="288">
        <v>4.0999999999999996</v>
      </c>
      <c r="C43" s="287" t="s">
        <v>2177</v>
      </c>
      <c r="D43" s="289">
        <v>42867</v>
      </c>
      <c r="E43" s="290" t="s">
        <v>2180</v>
      </c>
      <c r="F43" s="276" t="s">
        <v>2179</v>
      </c>
      <c r="G43" s="24"/>
    </row>
    <row r="44" spans="1:7" ht="112.5">
      <c r="A44" s="303"/>
      <c r="B44" s="288">
        <v>4.2</v>
      </c>
      <c r="C44" s="287" t="s">
        <v>2177</v>
      </c>
      <c r="D44" s="289">
        <v>42704</v>
      </c>
      <c r="E44" s="290" t="s">
        <v>2369</v>
      </c>
      <c r="F44" s="276" t="s">
        <v>2344</v>
      </c>
      <c r="G44" s="24"/>
    </row>
    <row r="45" spans="1:7" ht="213.75">
      <c r="A45" s="303"/>
      <c r="B45" s="291">
        <v>5</v>
      </c>
      <c r="C45" s="287" t="s">
        <v>2177</v>
      </c>
      <c r="D45" s="289">
        <v>42867</v>
      </c>
      <c r="E45" s="290" t="s">
        <v>12256</v>
      </c>
      <c r="F45" s="276" t="s">
        <v>11978</v>
      </c>
      <c r="G45" s="24"/>
    </row>
    <row r="46" spans="1:7" ht="56.25">
      <c r="A46" s="303"/>
      <c r="B46" s="288">
        <v>5.01</v>
      </c>
      <c r="C46" s="287" t="s">
        <v>2177</v>
      </c>
      <c r="D46" s="289">
        <v>42907</v>
      </c>
      <c r="E46" s="290" t="s">
        <v>14886</v>
      </c>
      <c r="F46" s="276" t="s">
        <v>11978</v>
      </c>
      <c r="G46" s="24"/>
    </row>
    <row r="47" spans="1:7" ht="101.25">
      <c r="A47" s="303"/>
      <c r="B47" s="288">
        <v>5.0999999999999996</v>
      </c>
      <c r="C47" s="287" t="s">
        <v>2177</v>
      </c>
      <c r="D47" s="289">
        <v>43070</v>
      </c>
      <c r="E47" s="290" t="s">
        <v>12456</v>
      </c>
      <c r="F47" s="276" t="s">
        <v>12457</v>
      </c>
      <c r="G47" s="24"/>
    </row>
    <row r="48" spans="1:7" ht="90">
      <c r="A48" s="303"/>
      <c r="B48" s="288">
        <v>5.1100000000000003</v>
      </c>
      <c r="C48" s="287" t="s">
        <v>12684</v>
      </c>
      <c r="D48" s="289">
        <v>43217</v>
      </c>
      <c r="E48" s="290" t="s">
        <v>12786</v>
      </c>
      <c r="F48" s="276" t="s">
        <v>12711</v>
      </c>
      <c r="G48" s="24"/>
    </row>
    <row r="49" spans="1:7" ht="90">
      <c r="A49" s="303"/>
      <c r="B49" s="288">
        <v>5.12</v>
      </c>
      <c r="C49" s="287" t="s">
        <v>12684</v>
      </c>
      <c r="D49" s="289">
        <v>43581</v>
      </c>
      <c r="E49" s="290" t="s">
        <v>12786</v>
      </c>
      <c r="F49" s="276" t="s">
        <v>13315</v>
      </c>
      <c r="G49" s="24"/>
    </row>
    <row r="50" spans="1:7" ht="112.5">
      <c r="A50" s="303"/>
      <c r="B50" s="291">
        <v>6</v>
      </c>
      <c r="C50" s="287" t="s">
        <v>12684</v>
      </c>
      <c r="D50" s="289">
        <v>43964</v>
      </c>
      <c r="E50" s="290" t="s">
        <v>13527</v>
      </c>
      <c r="F50" s="276" t="s">
        <v>13318</v>
      </c>
      <c r="G50" s="24"/>
    </row>
    <row r="51" spans="1:7" ht="56.25">
      <c r="A51" s="303"/>
      <c r="B51" s="288">
        <v>6.01</v>
      </c>
      <c r="C51" s="287" t="s">
        <v>12684</v>
      </c>
      <c r="D51" s="289">
        <v>43970</v>
      </c>
      <c r="E51" s="290" t="s">
        <v>14887</v>
      </c>
      <c r="F51" s="290" t="s">
        <v>13318</v>
      </c>
      <c r="G51" s="24"/>
    </row>
    <row r="52" spans="1:7" ht="56.25">
      <c r="A52" s="303"/>
      <c r="B52" s="288">
        <v>6.1</v>
      </c>
      <c r="C52" s="287" t="s">
        <v>12684</v>
      </c>
      <c r="D52" s="289">
        <v>44314</v>
      </c>
      <c r="E52" s="290" t="s">
        <v>14880</v>
      </c>
      <c r="F52" s="290" t="s">
        <v>14487</v>
      </c>
      <c r="G52" s="24"/>
    </row>
    <row r="53" spans="1:7" ht="56.25">
      <c r="A53" s="303"/>
      <c r="B53" s="288">
        <v>6.2</v>
      </c>
      <c r="C53" s="287" t="s">
        <v>12684</v>
      </c>
      <c r="D53" s="289">
        <v>44678</v>
      </c>
      <c r="E53" s="290" t="s">
        <v>14880</v>
      </c>
      <c r="F53" s="290" t="s">
        <v>14879</v>
      </c>
      <c r="G53" s="24"/>
    </row>
    <row r="54" spans="1:7" ht="56.25">
      <c r="A54" s="303"/>
      <c r="B54" s="288">
        <v>6.21</v>
      </c>
      <c r="C54" s="287" t="s">
        <v>12684</v>
      </c>
      <c r="D54" s="289">
        <v>44687</v>
      </c>
      <c r="E54" s="290" t="s">
        <v>14888</v>
      </c>
      <c r="F54" s="290" t="s">
        <v>14879</v>
      </c>
      <c r="G54" s="24"/>
    </row>
    <row r="55" spans="1:7" ht="56.25">
      <c r="A55" s="303"/>
      <c r="B55" s="288">
        <v>6.22</v>
      </c>
      <c r="C55" s="287" t="s">
        <v>12684</v>
      </c>
      <c r="D55" s="292">
        <v>44692</v>
      </c>
      <c r="E55" s="290" t="s">
        <v>14887</v>
      </c>
      <c r="F55" s="290" t="s">
        <v>14879</v>
      </c>
      <c r="G55" s="24"/>
    </row>
    <row r="56" spans="1:7" ht="90">
      <c r="A56" s="303"/>
      <c r="B56" s="291">
        <v>6.3</v>
      </c>
      <c r="C56" s="287" t="s">
        <v>12684</v>
      </c>
      <c r="D56" s="292">
        <v>45051</v>
      </c>
      <c r="E56" s="290" t="s">
        <v>15144</v>
      </c>
      <c r="F56" s="290" t="s">
        <v>14925</v>
      </c>
      <c r="G56" s="24"/>
    </row>
    <row r="57" spans="1:7" ht="56.25">
      <c r="A57" s="303"/>
      <c r="B57" s="288">
        <v>6.31</v>
      </c>
      <c r="C57" s="287" t="s">
        <v>12684</v>
      </c>
      <c r="D57" s="292">
        <v>45072</v>
      </c>
      <c r="E57" s="290" t="s">
        <v>15146</v>
      </c>
      <c r="F57" s="290" t="s">
        <v>14925</v>
      </c>
      <c r="G57" s="24"/>
    </row>
    <row r="58" spans="1:7" ht="56.25">
      <c r="A58" s="303"/>
      <c r="B58" s="291">
        <v>6.4</v>
      </c>
      <c r="C58" s="287" t="s">
        <v>12684</v>
      </c>
      <c r="D58" s="292">
        <v>45408</v>
      </c>
      <c r="E58" s="290" t="s">
        <v>15148</v>
      </c>
      <c r="F58" s="290" t="s">
        <v>15147</v>
      </c>
      <c r="G58" s="24"/>
    </row>
    <row r="59" spans="1:7" ht="56.25">
      <c r="A59" s="303"/>
      <c r="B59" s="291">
        <v>6.5</v>
      </c>
      <c r="C59" s="287" t="s">
        <v>12684</v>
      </c>
      <c r="D59" s="292">
        <v>45772</v>
      </c>
      <c r="E59" s="290" t="s">
        <v>15217</v>
      </c>
      <c r="F59" s="290" t="s">
        <v>15259</v>
      </c>
      <c r="G59" s="24"/>
    </row>
    <row r="60" spans="1:7" ht="90">
      <c r="A60" s="303"/>
      <c r="B60" s="291">
        <v>6.6</v>
      </c>
      <c r="C60" s="287" t="s">
        <v>12684</v>
      </c>
      <c r="D60" s="292">
        <v>46129</v>
      </c>
      <c r="E60" s="290" t="s">
        <v>15870</v>
      </c>
      <c r="F60" s="293" t="s">
        <v>15352</v>
      </c>
      <c r="G60" s="24"/>
    </row>
    <row r="61" spans="1:7" ht="13.5" thickBot="1">
      <c r="A61" s="304"/>
      <c r="B61" s="305" t="str">
        <f ca="1">OFFSET(L!$C$1,MATCH("General"&amp;"Cpy",L!$A:$A,0)-1,SL,,)</f>
        <v>© 2026 Responsible Minerals Initiative. All rights reserved.</v>
      </c>
      <c r="C61" s="305"/>
      <c r="D61" s="305"/>
      <c r="E61" s="305"/>
      <c r="F61" s="30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3DE2FA1-2273-4145-BF73-BFC81B80788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BE130F8-0F3D-4F49-B751-E66CCA2ACF6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5.75">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60" t="s">
        <v>479</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4" t="str">
        <f ca="1">OFFSET(L!$C$1,MATCH("Declaration"&amp;ADDRESS(ROW(),COLUMN(),4)&amp;LEFT($D$9,1),L!$A:$A,0)-1,SL,,)</f>
        <v>Description of Scope:</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7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t="s">
        <v>15880</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t="s">
        <v>15881</v>
      </c>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t="s">
        <v>15882</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15883</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66" t="s">
        <v>15884</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15885</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4" t="s">
        <v>15883</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t="s">
        <v>15886</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6" t="s">
        <v>15884</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24" t="s">
        <v>15885</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9">
        <v>46153</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7" t="s">
        <v>474</v>
      </c>
      <c r="E26" s="328"/>
      <c r="F26" s="11"/>
      <c r="G26" s="335"/>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 xml:space="preserve">Tin  </v>
      </c>
      <c r="C27" s="32"/>
      <c r="D27" s="327" t="s">
        <v>474</v>
      </c>
      <c r="E27" s="328"/>
      <c r="F27" s="11"/>
      <c r="G27" s="335"/>
      <c r="H27" s="336"/>
      <c r="I27" s="336"/>
      <c r="J27" s="337"/>
      <c r="K27" s="33"/>
      <c r="L27" s="113"/>
      <c r="P27" s="42" t="str">
        <f>IF(D$27="No","","(*)")</f>
        <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327" t="s">
        <v>474</v>
      </c>
      <c r="E28" s="328"/>
      <c r="F28" s="11"/>
      <c r="G28" s="335"/>
      <c r="H28" s="336"/>
      <c r="I28" s="336"/>
      <c r="J28" s="337"/>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7" t="s">
        <v>474</v>
      </c>
      <c r="E29" s="328"/>
      <c r="F29" s="11"/>
      <c r="G29" s="335"/>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v>
      </c>
      <c r="C31" s="9"/>
      <c r="D31" s="332" t="str">
        <f ca="1">D25</f>
        <v>Answer</v>
      </c>
      <c r="E31" s="332"/>
      <c r="F31" s="17"/>
      <c r="G31" s="41" t="str">
        <f ca="1">G25</f>
        <v>Comments</v>
      </c>
      <c r="H31" s="41"/>
      <c r="I31" s="41"/>
      <c r="J31" s="80"/>
      <c r="K31" s="33"/>
      <c r="L31" s="108" t="s">
        <v>1197</v>
      </c>
      <c r="P31" s="42">
        <f>COUNTIF(D$26:D$29,"No")</f>
        <v>4</v>
      </c>
      <c r="Q31" s="42" t="str">
        <f>IF(P31=4,""," (*)")</f>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 xml:space="preserve">Tin  </v>
      </c>
      <c r="C33" s="9"/>
      <c r="D33" s="327"/>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327"/>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v>
      </c>
      <c r="C37" s="9"/>
      <c r="D37" s="332" t="str">
        <f ca="1">D25</f>
        <v>Answer</v>
      </c>
      <c r="E37" s="332"/>
      <c r="F37" s="17"/>
      <c r="G37" s="41" t="str">
        <f ca="1">G25</f>
        <v>Comments</v>
      </c>
      <c r="H37" s="375"/>
      <c r="I37" s="375"/>
      <c r="J37" s="375"/>
      <c r="K37" s="33"/>
      <c r="L37" s="108" t="s">
        <v>1197</v>
      </c>
      <c r="P37" s="42">
        <f>COUNTIF(D$26:D$29,"No")+COUNTIF(D$32:D$35,"No")</f>
        <v>4</v>
      </c>
      <c r="Q37" s="42" t="str">
        <f>IF(P37&gt;3,""," (*)")</f>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 xml:space="preserve">Tin  </v>
      </c>
      <c r="C39" s="9"/>
      <c r="D39" s="327"/>
      <c r="E39" s="328"/>
      <c r="F39" s="44"/>
      <c r="G39" s="335"/>
      <c r="H39" s="336"/>
      <c r="I39" s="336"/>
      <c r="J39" s="337"/>
      <c r="K39" s="33"/>
      <c r="L39" s="113"/>
      <c r="P39" s="42" t="str">
        <f>IF((OR(D$27="No",D$33="No")),"","(*)")</f>
        <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327"/>
      <c r="E40" s="328"/>
      <c r="F40" s="44"/>
      <c r="G40" s="335"/>
      <c r="H40" s="336"/>
      <c r="I40" s="336"/>
      <c r="J40" s="337"/>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v>
      </c>
      <c r="C43" s="9"/>
      <c r="D43" s="332" t="str">
        <f ca="1">D25</f>
        <v>Answer</v>
      </c>
      <c r="E43" s="332"/>
      <c r="F43" s="17"/>
      <c r="G43" s="41" t="str">
        <f ca="1">G25</f>
        <v>Comments</v>
      </c>
      <c r="H43" s="41"/>
      <c r="I43" s="41"/>
      <c r="J43" s="80"/>
      <c r="K43" s="33"/>
      <c r="L43" s="108"/>
      <c r="P43" s="42">
        <f>COUNTIF(D$26:D$29,"No")+COUNTIF(D$32:D$35,"No")</f>
        <v>4</v>
      </c>
      <c r="Q43" s="42" t="str">
        <f>IF(P43&gt;3,""," (*)")</f>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 xml:space="preserve">Tin  </v>
      </c>
      <c r="C45" s="9"/>
      <c r="D45" s="327"/>
      <c r="E45" s="328"/>
      <c r="F45" s="44"/>
      <c r="G45" s="335"/>
      <c r="H45" s="336"/>
      <c r="I45" s="336"/>
      <c r="J45" s="337"/>
      <c r="K45" s="33"/>
      <c r="L45" s="108"/>
      <c r="P45" s="42" t="str">
        <f>IF((OR(D$27="No",D$33="No")),"","(*)")</f>
        <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7"/>
      <c r="E46" s="328"/>
      <c r="F46" s="44"/>
      <c r="G46" s="335"/>
      <c r="H46" s="336"/>
      <c r="I46" s="336"/>
      <c r="J46" s="337"/>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 xml:space="preserve">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 xml:space="preserve">Tin  </v>
      </c>
      <c r="C51" s="9"/>
      <c r="D51" s="327"/>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327"/>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 xml:space="preserve">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 xml:space="preserve">Tin  </v>
      </c>
      <c r="C57" s="32"/>
      <c r="D57" s="369"/>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69"/>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 xml:space="preserve">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 xml:space="preserve">Tin  </v>
      </c>
      <c r="C63" s="9"/>
      <c r="D63" s="327"/>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327"/>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 xml:space="preserve">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 xml:space="preserve">Tin  </v>
      </c>
      <c r="C69" s="32"/>
      <c r="D69" s="327"/>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327"/>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v>
      </c>
      <c r="C75" s="54"/>
      <c r="D75" s="327" t="s">
        <v>474</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v>
      </c>
      <c r="C77" s="54"/>
      <c r="D77" s="327" t="s">
        <v>474</v>
      </c>
      <c r="E77" s="328"/>
      <c r="F77" s="54"/>
      <c r="G77" s="339"/>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v>
      </c>
      <c r="C79" s="54"/>
      <c r="D79" s="327" t="s">
        <v>473</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v>
      </c>
      <c r="C81" s="54"/>
      <c r="D81" s="327" t="s">
        <v>474</v>
      </c>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v>
      </c>
      <c r="C83" s="54"/>
      <c r="D83" s="327" t="s">
        <v>474</v>
      </c>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v>
      </c>
      <c r="C85" s="54"/>
      <c r="D85" s="380" t="s">
        <v>474</v>
      </c>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v>
      </c>
      <c r="C87" s="54"/>
      <c r="D87" s="327" t="s">
        <v>474</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v>
      </c>
      <c r="C89" s="54"/>
      <c r="D89" s="327" t="s">
        <v>474</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7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
      </c>
    </row>
    <row r="99" spans="2:7" ht="15.75" hidden="1">
      <c r="B99" s="172">
        <v>1</v>
      </c>
      <c r="D99" s="264" t="str">
        <f>IF(AND(OR($D$27="Yes",$D$27=""),OR($D$33="Yes",$D$33="")),"Yes","")</f>
        <v/>
      </c>
      <c r="E99" s="264" t="str">
        <f>IF(AND(OR($D$26="Yes",$D$26=""),OR($D$32="Yes",$D$32="")),"Greater than 50%","")</f>
        <v/>
      </c>
      <c r="G99" s="264" t="str">
        <f>IF(OR($D$27="Yes",$D$27=""),"No","")</f>
        <v/>
      </c>
    </row>
    <row r="100" spans="2:7" ht="15.75" hidden="1">
      <c r="B100" s="219" t="s">
        <v>2370</v>
      </c>
      <c r="D100" s="264" t="str">
        <f>IF(AND(OR($D$27="Yes",$D$27=""),OR($D$33="Yes",$D$33="")),"No","")</f>
        <v/>
      </c>
      <c r="E100" s="264" t="str">
        <f>IF(AND(OR($D$26="Yes",$D$26=""),OR($D$32="Yes",$D$32="")),"50% or less","")</f>
        <v/>
      </c>
      <c r="G100" s="264" t="str">
        <f>IF(OR($D$28="Yes",$D$28=""),"Yes","")</f>
        <v/>
      </c>
    </row>
    <row r="101" spans="2:7" ht="15.75" hidden="1">
      <c r="B101" s="219" t="s">
        <v>2371</v>
      </c>
      <c r="D101" s="264" t="str">
        <f>IF(AND(OR($D$27="Yes",$D$27=""),OR($D$33="Yes",$D$33="")),"Unknown","")</f>
        <v/>
      </c>
      <c r="E101" s="264" t="str">
        <f>IF(AND(OR($D$26="Yes",$D$26=""),OR($D$32="Yes",$D$32="")),"None","")</f>
        <v/>
      </c>
      <c r="G101" s="264" t="str">
        <f>IF(OR($D$28="Yes",$D$28=""),"No","")</f>
        <v/>
      </c>
    </row>
    <row r="102" spans="2:7" ht="15.75" hidden="1">
      <c r="B102" s="219" t="s">
        <v>2372</v>
      </c>
      <c r="D102" s="264" t="str">
        <f>IF(AND(OR($D$28="Yes",$D$28=""),OR($D$34="Yes",$D$34="")),"Yes","")</f>
        <v/>
      </c>
      <c r="E102" s="264" t="str">
        <f>IF(AND(OR($D$27="Yes",$D$27=""),OR($D$33="Yes",$D$33="")),"100%","")</f>
        <v/>
      </c>
      <c r="G102" s="264" t="str">
        <f>IF(OR($D$29="Yes",$D$29=""),"Yes","")</f>
        <v/>
      </c>
    </row>
    <row r="103" spans="2:7" ht="15.75" hidden="1">
      <c r="B103" s="219" t="s">
        <v>2373</v>
      </c>
      <c r="D103" s="264" t="str">
        <f>IF(AND(OR($D$28="Yes",$D$28=""),OR($D$34="Yes",$D$34="")),"No","")</f>
        <v/>
      </c>
      <c r="E103" s="264" t="str">
        <f>IF(AND(OR($D$27="Yes",$D$27=""),OR($D$33="Yes",$D$33="")),"Greater than 90%","")</f>
        <v/>
      </c>
      <c r="G103" s="264" t="str">
        <f>IF(OR($D$29="Yes",$D$29=""),"No","")</f>
        <v/>
      </c>
    </row>
    <row r="104" spans="2:7" ht="15.75" hidden="1">
      <c r="B104" s="219" t="s">
        <v>476</v>
      </c>
      <c r="D104" s="264" t="str">
        <f>IF(AND(OR($D$28="Yes",$D$28=""),OR($D$34="Yes",$D$34="")),"Unknown","")</f>
        <v/>
      </c>
      <c r="E104" s="264" t="str">
        <f>IF(AND(OR($D$27="Yes",$D$27=""),OR($D$33="Yes",$D$33="")),"Greater than 75%","")</f>
        <v/>
      </c>
    </row>
    <row r="105" spans="2:7" ht="15.75" hidden="1">
      <c r="B105" s="219" t="s">
        <v>14427</v>
      </c>
      <c r="D105" s="264" t="str">
        <f>IF(AND(OR($D$29="Yes",$D$29=""),OR($D$35="Yes",$D$35="")),"Yes","")</f>
        <v/>
      </c>
      <c r="E105" s="264" t="str">
        <f>IF(AND(OR($D$27="Yes",$D$27=""),OR($D$33="Yes",$D$33="")),"Greater than 50%","")</f>
        <v/>
      </c>
    </row>
    <row r="106" spans="2:7" ht="15.75" hidden="1">
      <c r="B106" s="219" t="s">
        <v>11949</v>
      </c>
      <c r="D106" s="264" t="str">
        <f>IF(AND(OR($D$29="Yes",$D$29=""),OR($D$35="Yes",$D$35="")),"No","")</f>
        <v/>
      </c>
      <c r="E106" s="264" t="str">
        <f>IF(AND(OR($D$27="Yes",$D$27=""),OR($D$33="Yes",$D$33="")),"50% or less","")</f>
        <v/>
      </c>
    </row>
    <row r="107" spans="2:7" ht="15.75" hidden="1">
      <c r="B107" s="219" t="s">
        <v>474</v>
      </c>
      <c r="D107" s="264" t="str">
        <f>IF(AND(OR($D$29="Yes",$D$29=""),OR($D$35="Yes",$D$35="")),"Unknown","")</f>
        <v/>
      </c>
      <c r="E107" s="264" t="str">
        <f>IF(AND(OR($D$27="Yes",$D$27=""),OR($D$33="Yes",$D$33="")),"None","")</f>
        <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E6EF00B-A0A1-4566-8400-9D03AFD304D8}"/>
    <hyperlink ref="D20" r:id="rId4" xr:uid="{CE381B80-09E7-4AD1-92E5-749D09373FF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tr">
        <f>IF(LEN(A5)=0,"",INDEX('Smelter Look-up'!$A:$A,MATCH($A5,'Smelter Look-up'!$E:$E,0)))</f>
        <v/>
      </c>
      <c r="C5" s="170" t="str">
        <f>IF(LEN(A5)=0,"",INDEX('Smelter Look-up'!$C:$C,MATCH($A5,'Smelter Look-up'!$E:$E,0)))</f>
        <v/>
      </c>
      <c r="D5" s="213"/>
      <c r="E5" s="166" t="str">
        <f ca="1">IF(ISERROR($V5),"",OFFSET('Smelter Look-up'!$D$4,$V5-4,0)&amp;"")</f>
        <v/>
      </c>
      <c r="F5" s="166" t="str">
        <f ca="1">IF(ISERROR($V5),"",OFFSET('Smelter Look-up'!$E$4,$V5-4,0))</f>
        <v/>
      </c>
      <c r="G5" s="166" t="str">
        <f ca="1">IF(C5=$X$4,IF(ISERROR($V5),"Enter smelter details","RMI"),IF(ISERROR($V5),"",OFFSET('Smelter Look-up'!$F$4,$V5-4,0)))</f>
        <v/>
      </c>
      <c r="H5" s="167" t="str">
        <f ca="1">IF(ISERROR($V5),"",OFFSET('Smelter Look-up'!$G$4,$V5-4,0))</f>
        <v/>
      </c>
      <c r="I5" s="168" t="str">
        <f ca="1">IF(ISERROR($V5),"",OFFSET('Smelter Look-up'!$H$4,$V5-4,0))</f>
        <v/>
      </c>
      <c r="J5" s="168" t="str">
        <f ca="1">IF(ISERROR($V5),"",OFFSET('Smelter Look-up'!$I$4,$V5-4,0))</f>
        <v/>
      </c>
      <c r="K5" s="207"/>
      <c r="L5" s="207"/>
      <c r="M5" s="207"/>
      <c r="N5" s="207"/>
      <c r="O5" s="207"/>
      <c r="P5" s="169"/>
      <c r="Q5" s="208"/>
      <c r="R5" s="166" t="str">
        <f ca="1">IF(ISERROR($V5),"",OFFSET('Smelter Look-up'!$C$4,$V5-4,0)&amp;"")</f>
        <v/>
      </c>
      <c r="S5" s="165" t="str">
        <f ca="1">IF(B5="","",IF(ISERROR(MATCH($E5,CL,0)),"Unknown",INDIRECT("'C'!$A$"&amp;MATCH($E5,CL,0)+1)))</f>
        <v/>
      </c>
      <c r="T5" s="165" t="str">
        <f ca="1">IF(B5="","",IF(ISERROR(MATCH($J5,SorP!$B$1:$B$6261,0)),"",INDIRECT("'SorP'!$A$"&amp;MATCH($S5&amp;$J5,SorP!C:C,0))))</f>
        <v/>
      </c>
      <c r="U5" s="185"/>
      <c r="V5" s="209" t="e">
        <f>IF(C5="",NA(),IF(OR(C5="Smelter not listed",C5="Smelter not yet identified"),MATCH($B5&amp;$D5,'Smelter Look-up'!$J:$J,0),MATCH($B5&amp;$C5,'Smelter Look-up'!$J:$J,0)))</f>
        <v>#N/A</v>
      </c>
      <c r="X5" s="210">
        <f t="shared" ref="X5" ca="1" si="0">IF(AND(C5="Smelter not listed",OR(LEN(D5)=0,LEN(E5)=0)),1,0)</f>
        <v>0</v>
      </c>
      <c r="AB5" s="211" t="str">
        <f t="shared" ref="AB5" si="1">B5&amp;C5</f>
        <v/>
      </c>
    </row>
    <row r="6" spans="1:34" s="210" customFormat="1" ht="20.100000000000001"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C1A8736-D1F1-4053-B7A4-2FEB7D69647E}"/>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Ampacet Corporation</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Kevin Harris</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kevin.harris@ampacet.com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914-332-7326</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Kevin Harris</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kevin.harris@ampacet.com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46153</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 xml:space="preserve">Tin  </v>
      </c>
      <c r="B15" s="86" t="str">
        <f>Declaration!D27</f>
        <v>No</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 xml:space="preserve">Tin  </v>
      </c>
      <c r="B20" s="86">
        <f>IF($B$15="Yes",Declaration!D33,0)</f>
        <v>0</v>
      </c>
      <c r="C20" s="86" t="str">
        <f ca="1">IF(H20=1,J20,I20)</f>
        <v>Complete</v>
      </c>
      <c r="D20" s="94" t="str">
        <f>IF(H20=1,"Click here to answer question 2 for Tin","")</f>
        <v/>
      </c>
      <c r="E20" s="19" t="s">
        <v>770</v>
      </c>
      <c r="F20" s="91">
        <f>IF(B$15="No",0,1)</f>
        <v>0</v>
      </c>
      <c r="G20" s="67">
        <f>IF(B20=0,1,0)</f>
        <v>1</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 xml:space="preserve">Tin  </v>
      </c>
      <c r="B25" s="86">
        <f>IF(AND($B$15="Yes",$B$20="Yes"),Declaration!D39,0)</f>
        <v>0</v>
      </c>
      <c r="C25" s="86" t="str">
        <f ca="1">IF(H25=1,J25,I25)</f>
        <v>Complete</v>
      </c>
      <c r="D25" s="94" t="str">
        <f>IF(H25=1,"Click here to answer question 3 for Tin","")</f>
        <v/>
      </c>
      <c r="E25" s="19" t="s">
        <v>770</v>
      </c>
      <c r="F25" s="91">
        <f>IF(OR(B15="No",B20="No"),0,1)</f>
        <v>0</v>
      </c>
      <c r="G25" s="67">
        <f>IF(B25=0,1,0)</f>
        <v>1</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 xml:space="preserve">Tin  </v>
      </c>
      <c r="B30" s="86">
        <f>IF(AND($B$15="Yes",$B$20="Yes"),Declaration!D45,0)</f>
        <v>0</v>
      </c>
      <c r="C30" s="86" t="str">
        <f ca="1">IF(H30=1,J30,I30)</f>
        <v>Complete</v>
      </c>
      <c r="D30" s="243" t="str">
        <f>IF(H30=1,"Click here to answer question 4 for Tin","")</f>
        <v/>
      </c>
      <c r="E30" s="19"/>
      <c r="F30" s="91">
        <f>F25</f>
        <v>0</v>
      </c>
      <c r="G30" s="67">
        <f>IF(B30=0,1,0)</f>
        <v>1</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 xml:space="preserve">5) Does 100 percent of the 3TG (necessary to the functionality or production of your products) originate from recycled or scrap sources? </v>
      </c>
      <c r="B33" s="89"/>
      <c r="C33" s="89"/>
      <c r="D33" s="93"/>
      <c r="E33" s="19" t="s">
        <v>1261</v>
      </c>
      <c r="F33" s="90"/>
      <c r="J33" s="143"/>
    </row>
    <row r="34" spans="1:10" ht="5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 xml:space="preserve">Tin  </v>
      </c>
      <c r="B35" s="86">
        <f>IF(AND($B$15="Yes",$B$20="Yes"),Declaration!D51,0)</f>
        <v>0</v>
      </c>
      <c r="C35" s="86" t="str">
        <f ca="1">IF(H35=1,J35,I35)</f>
        <v>Complete</v>
      </c>
      <c r="D35" s="243" t="str">
        <f>IF(H35=1,"Click here to answer question 5 for Tin","")</f>
        <v/>
      </c>
      <c r="E35" s="19" t="s">
        <v>1261</v>
      </c>
      <c r="F35" s="91">
        <f>F25</f>
        <v>0</v>
      </c>
      <c r="G35" s="67">
        <f>IF(B35=0,1,0)</f>
        <v>1</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 xml:space="preserve">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 xml:space="preserve">Tin  </v>
      </c>
      <c r="B40" s="251">
        <f>IF(AND($B$15="Yes",$B$20="Yes"),Declaration!D57,0)</f>
        <v>0</v>
      </c>
      <c r="C40" s="86" t="str">
        <f ca="1">IF(H40=1,J40,I40)</f>
        <v>Complete</v>
      </c>
      <c r="D40" s="244" t="str">
        <f>IF(H40=1,"Click here to answer question 6 for Tin","")</f>
        <v/>
      </c>
      <c r="E40" s="19" t="s">
        <v>769</v>
      </c>
      <c r="F40" s="91">
        <f>F25</f>
        <v>0</v>
      </c>
      <c r="G40" s="67">
        <f>IF(B40=0,1,0)</f>
        <v>1</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 xml:space="preserve">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 xml:space="preserve">Tin  </v>
      </c>
      <c r="B45" s="86">
        <f>IF(AND($B$15="Yes",$B$20="Yes"),Declaration!D63,0)</f>
        <v>0</v>
      </c>
      <c r="C45" s="86" t="str">
        <f ca="1">IF(H45=1,J45,I45)</f>
        <v>Complete</v>
      </c>
      <c r="D45" s="243" t="str">
        <f>IF(H45=1,"Click here to answer question 7 for Tin","")</f>
        <v/>
      </c>
      <c r="E45" s="19" t="s">
        <v>1257</v>
      </c>
      <c r="F45" s="91">
        <f>F25</f>
        <v>0</v>
      </c>
      <c r="G45" s="67">
        <f>IF(B45=0,1,0)</f>
        <v>1</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 xml:space="preserve">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 xml:space="preserve">Tin  </v>
      </c>
      <c r="B50" s="86">
        <f>IF(AND($B$15="Yes",$B$20="Yes"),Declaration!D69,0)</f>
        <v>0</v>
      </c>
      <c r="C50" s="86" t="str">
        <f ca="1">IF(H50=1,J50,I50)</f>
        <v>Complete</v>
      </c>
      <c r="D50" s="244" t="str">
        <f>IF(H50=1,"Click here to answer question 8 for Tin","")</f>
        <v/>
      </c>
      <c r="E50" s="19" t="s">
        <v>770</v>
      </c>
      <c r="F50" s="91">
        <f>F25</f>
        <v>0</v>
      </c>
      <c r="G50" s="67">
        <f>IF(B50=0,1,0)</f>
        <v>1</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v>
      </c>
      <c r="B54" s="86" t="str">
        <f>Declaration!D75</f>
        <v>No</v>
      </c>
      <c r="C54" s="86" t="str">
        <f t="shared" ref="C54:C60" ca="1" si="10">IF(H54=1,J54,I54)</f>
        <v>Complete</v>
      </c>
      <c r="D54" s="92" t="str">
        <f>IF(H54=1,"Click here to answer question (A)","")</f>
        <v/>
      </c>
      <c r="E54" s="19" t="s">
        <v>1261</v>
      </c>
      <c r="F54" s="91">
        <f>IF(SUM(F$24:F$27)=0,0,1)</f>
        <v>0</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v>
      </c>
      <c r="B55" s="86" t="str">
        <f>Declaration!D77</f>
        <v>No</v>
      </c>
      <c r="C55" s="86" t="str">
        <f t="shared" ca="1" si="10"/>
        <v>Complete</v>
      </c>
      <c r="D55" s="92" t="str">
        <f>IF(H55=1,"Click here to answer question (B)","")</f>
        <v/>
      </c>
      <c r="E55" s="19" t="s">
        <v>1261</v>
      </c>
      <c r="F55" s="91">
        <f t="shared" ref="F55" si="12">F$54</f>
        <v>0</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v>
      </c>
      <c r="B57" s="86" t="str">
        <f>Declaration!D79</f>
        <v>Yes</v>
      </c>
      <c r="C57" s="86" t="str">
        <f t="shared" ca="1" si="10"/>
        <v>Complete</v>
      </c>
      <c r="D57" s="92" t="str">
        <f>IF(H57=1,"Click here to answer question (C)","")</f>
        <v/>
      </c>
      <c r="E57" s="19" t="s">
        <v>1261</v>
      </c>
      <c r="F57" s="91">
        <f>F$54</f>
        <v>0</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v>
      </c>
      <c r="B58" s="86" t="str">
        <f>Declaration!D81</f>
        <v>No</v>
      </c>
      <c r="C58" s="86" t="str">
        <f t="shared" ca="1" si="10"/>
        <v>Complete</v>
      </c>
      <c r="D58" s="92" t="str">
        <f>IF(H58=1,"Click here to answer question (D)","")</f>
        <v/>
      </c>
      <c r="E58" s="19" t="s">
        <v>1261</v>
      </c>
      <c r="F58" s="91">
        <f>F$54</f>
        <v>0</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v>
      </c>
      <c r="B59" s="86" t="str">
        <f>Declaration!D83</f>
        <v>No</v>
      </c>
      <c r="C59" s="86" t="str">
        <f t="shared" ca="1" si="10"/>
        <v>Complete</v>
      </c>
      <c r="D59" s="92" t="str">
        <f>IF(H59=1,"Click here to answer question (E)","")</f>
        <v/>
      </c>
      <c r="E59" s="19" t="s">
        <v>1261</v>
      </c>
      <c r="F59" s="91">
        <f>F$54</f>
        <v>0</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v>
      </c>
      <c r="B60" s="86" t="str">
        <f>Declaration!D85</f>
        <v>No</v>
      </c>
      <c r="C60" s="86" t="str">
        <f t="shared" ca="1" si="10"/>
        <v>Complete</v>
      </c>
      <c r="D60" s="92" t="str">
        <f>IF(H60=1,"Click here to answer question (F)","")</f>
        <v/>
      </c>
      <c r="E60" s="19" t="s">
        <v>1261</v>
      </c>
      <c r="F60" s="91">
        <f>F$54</f>
        <v>0</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v>
      </c>
      <c r="B62" s="86" t="str">
        <f>Declaration!D87</f>
        <v>No</v>
      </c>
      <c r="C62" s="86" t="str">
        <f t="shared" ref="C62:C68" ca="1" si="13">IF(H62=1,J62,I62)</f>
        <v>Complete</v>
      </c>
      <c r="D62" s="92" t="str">
        <f>IF(H62=1,"Click here to answer question (G)","")</f>
        <v/>
      </c>
      <c r="E62" s="19" t="s">
        <v>1261</v>
      </c>
      <c r="F62" s="91">
        <f>F$54</f>
        <v>0</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v>
      </c>
      <c r="B63" s="86" t="str">
        <f>Declaration!D89</f>
        <v>No</v>
      </c>
      <c r="C63" s="86" t="str">
        <f t="shared" ca="1" si="13"/>
        <v>Complete</v>
      </c>
      <c r="D63" s="92" t="str">
        <f>IF(H63=1,"Click here to answer question (H)","")</f>
        <v/>
      </c>
      <c r="E63" s="19" t="s">
        <v>1261</v>
      </c>
      <c r="F63" s="91">
        <f>F$54</f>
        <v>0</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0</v>
      </c>
      <c r="G66" s="67">
        <f>IF(AND(COUNTIF(SmelterIdetifiedForMetal,"Tin")&gt;0,COUNTIF('Smelter List'!AB$5:AB$2504,"Tin?*")&gt;0),0,1)</f>
        <v>1</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Harris, Kevin</cp:lastModifiedBy>
  <cp:lastPrinted>2015-04-21T20:47:43Z</cp:lastPrinted>
  <dcterms:created xsi:type="dcterms:W3CDTF">2010-06-21T21:00:23Z</dcterms:created>
  <dcterms:modified xsi:type="dcterms:W3CDTF">2026-05-11T19:55:55Z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